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0" yWindow="0" windowWidth="12510" windowHeight="8970" tabRatio="821" activeTab="1"/>
  </bookViews>
  <sheets>
    <sheet name="Kostimi i planit te veprimit" sheetId="2" r:id="rId1"/>
    <sheet name="Totali_Qellimet politike" sheetId="3" r:id="rId2"/>
    <sheet name="Nevojat kapitale" sheetId="18" r:id="rId3"/>
    <sheet name="Grafik Kostot" sheetId="14" r:id="rId4"/>
    <sheet name="Grafik-Ndarja e kostove" sheetId="15" r:id="rId5"/>
    <sheet name="Grafik_ Qellimet e politikave" sheetId="16" r:id="rId6"/>
  </sheets>
  <externalReferences>
    <externalReference r:id="rId7"/>
    <externalReference r:id="rId8"/>
  </externalReferences>
  <definedNames>
    <definedName name="_Hlk14952534" localSheetId="2">'Nevojat kapitale'!$C$14</definedName>
  </definedNames>
  <calcPr calcId="145621"/>
</workbook>
</file>

<file path=xl/calcChain.xml><?xml version="1.0" encoding="utf-8"?>
<calcChain xmlns="http://schemas.openxmlformats.org/spreadsheetml/2006/main">
  <c r="AX90" i="2" l="1"/>
  <c r="AM98" i="2"/>
  <c r="AJ98" i="2"/>
  <c r="AG98" i="2"/>
  <c r="AM94" i="2"/>
  <c r="AJ94" i="2"/>
  <c r="AG94" i="2"/>
  <c r="AM90" i="2"/>
  <c r="AM89" i="2"/>
  <c r="AJ90" i="2"/>
  <c r="AJ89" i="2"/>
  <c r="AG90" i="2"/>
  <c r="AG89" i="2"/>
  <c r="AD98" i="2"/>
  <c r="AD94" i="2"/>
  <c r="AD90" i="2"/>
  <c r="AD89" i="2"/>
  <c r="AA98" i="2"/>
  <c r="AA94" i="2"/>
  <c r="Y91" i="2"/>
  <c r="Z91" i="2"/>
  <c r="AA90" i="2"/>
  <c r="AA91" i="2" s="1"/>
  <c r="AA89" i="2"/>
  <c r="V98" i="2"/>
  <c r="V94" i="2"/>
  <c r="V90" i="2"/>
  <c r="S98" i="2"/>
  <c r="S94" i="2"/>
  <c r="S90" i="2"/>
  <c r="P98" i="2"/>
  <c r="P94" i="2"/>
  <c r="P90" i="2"/>
  <c r="P89" i="2"/>
  <c r="M98" i="2"/>
  <c r="AN98" i="2" s="1"/>
  <c r="M94" i="2"/>
  <c r="AN94" i="2" s="1"/>
  <c r="M90" i="2"/>
  <c r="M89" i="2"/>
  <c r="K89" i="2"/>
  <c r="J90" i="2"/>
  <c r="AN90" i="2" s="1"/>
  <c r="J89" i="2"/>
  <c r="P27" i="3"/>
  <c r="AX79" i="2"/>
  <c r="AQ79" i="2"/>
  <c r="AQ80" i="2" s="1"/>
  <c r="J28" i="3" s="1"/>
  <c r="AQ78" i="2"/>
  <c r="AM79" i="2"/>
  <c r="AM80" i="2" s="1"/>
  <c r="AM78" i="2"/>
  <c r="AJ79" i="2"/>
  <c r="AJ78" i="2"/>
  <c r="AG79" i="2"/>
  <c r="AG78" i="2"/>
  <c r="Z80" i="2"/>
  <c r="AB80" i="2"/>
  <c r="AC80" i="2"/>
  <c r="AE80" i="2"/>
  <c r="AF80" i="2"/>
  <c r="AG80" i="2"/>
  <c r="AH80" i="2"/>
  <c r="AI80" i="2"/>
  <c r="AJ80" i="2"/>
  <c r="AK80" i="2"/>
  <c r="AL80" i="2"/>
  <c r="AV80" i="2"/>
  <c r="AD79" i="2"/>
  <c r="AD78" i="2"/>
  <c r="AD80" i="2" s="1"/>
  <c r="AA79" i="2"/>
  <c r="Y78" i="2"/>
  <c r="Y80" i="2" s="1"/>
  <c r="W79" i="2"/>
  <c r="W78" i="2"/>
  <c r="W80" i="2" s="1"/>
  <c r="V79" i="2"/>
  <c r="V78" i="2"/>
  <c r="V80" i="2" s="1"/>
  <c r="T79" i="2"/>
  <c r="T78" i="2"/>
  <c r="T80" i="2" s="1"/>
  <c r="S79" i="2"/>
  <c r="S78" i="2"/>
  <c r="S80" i="2" s="1"/>
  <c r="Q79" i="2"/>
  <c r="Q78" i="2"/>
  <c r="Q80" i="2" s="1"/>
  <c r="P79" i="2"/>
  <c r="P78" i="2"/>
  <c r="P80" i="2" s="1"/>
  <c r="N79" i="2"/>
  <c r="N78" i="2"/>
  <c r="N80" i="2" s="1"/>
  <c r="M79" i="2"/>
  <c r="M78" i="2"/>
  <c r="M80" i="2" s="1"/>
  <c r="K79" i="2"/>
  <c r="AO79" i="2" s="1"/>
  <c r="J79" i="2"/>
  <c r="AN79" i="2" s="1"/>
  <c r="K78" i="2"/>
  <c r="AO78" i="2" s="1"/>
  <c r="AO80" i="2" s="1"/>
  <c r="H28" i="3" s="1"/>
  <c r="J78" i="2"/>
  <c r="AN78" i="2" s="1"/>
  <c r="AV75" i="2"/>
  <c r="AX73" i="2"/>
  <c r="AR74" i="2"/>
  <c r="AR75" i="2" s="1"/>
  <c r="K27" i="3" s="1"/>
  <c r="AQ74" i="2"/>
  <c r="AQ73" i="2"/>
  <c r="AQ75" i="2" s="1"/>
  <c r="J27" i="3" s="1"/>
  <c r="AL74" i="2"/>
  <c r="AL73" i="2"/>
  <c r="AK74" i="2"/>
  <c r="AM74" i="2" s="1"/>
  <c r="AK73" i="2"/>
  <c r="AK75" i="2" s="1"/>
  <c r="AI74" i="2"/>
  <c r="AI73" i="2"/>
  <c r="AH74" i="2"/>
  <c r="AH73" i="2"/>
  <c r="AJ73" i="2" s="1"/>
  <c r="AF74" i="2"/>
  <c r="AF73" i="2"/>
  <c r="AE74" i="2"/>
  <c r="AG74" i="2" s="1"/>
  <c r="AE73" i="2"/>
  <c r="AG73" i="2" s="1"/>
  <c r="AC74" i="2"/>
  <c r="AB74" i="2"/>
  <c r="AD74" i="2" s="1"/>
  <c r="AC73" i="2"/>
  <c r="AB73" i="2"/>
  <c r="AD73" i="2" s="1"/>
  <c r="Z74" i="2"/>
  <c r="Z73" i="2"/>
  <c r="Y74" i="2"/>
  <c r="AA74" i="2" s="1"/>
  <c r="AA75" i="2" s="1"/>
  <c r="Y73" i="2"/>
  <c r="AA73" i="2" s="1"/>
  <c r="W74" i="2"/>
  <c r="W73" i="2"/>
  <c r="V74" i="2"/>
  <c r="V73" i="2"/>
  <c r="AB75" i="2"/>
  <c r="AE75" i="2"/>
  <c r="AL75" i="2"/>
  <c r="T74" i="2"/>
  <c r="T73" i="2"/>
  <c r="T75" i="2" s="1"/>
  <c r="S74" i="2"/>
  <c r="S73" i="2"/>
  <c r="S75" i="2" s="1"/>
  <c r="Q74" i="2"/>
  <c r="Q73" i="2"/>
  <c r="Q75" i="2" s="1"/>
  <c r="P74" i="2"/>
  <c r="P73" i="2"/>
  <c r="P75" i="2" s="1"/>
  <c r="N74" i="2"/>
  <c r="M74" i="2"/>
  <c r="N73" i="2"/>
  <c r="N75" i="2" s="1"/>
  <c r="M73" i="2"/>
  <c r="M75" i="2" s="1"/>
  <c r="K74" i="2"/>
  <c r="AO74" i="2" s="1"/>
  <c r="J74" i="2"/>
  <c r="AN74" i="2" s="1"/>
  <c r="K73" i="2"/>
  <c r="J73" i="2"/>
  <c r="AN73" i="2" s="1"/>
  <c r="AX69" i="2"/>
  <c r="AQ69" i="2"/>
  <c r="AL69" i="2"/>
  <c r="AK69" i="2"/>
  <c r="AM69" i="2" s="1"/>
  <c r="AI69" i="2"/>
  <c r="AH69" i="2"/>
  <c r="AJ69" i="2" s="1"/>
  <c r="AF69" i="2"/>
  <c r="AE69" i="2"/>
  <c r="AG69" i="2" s="1"/>
  <c r="AC69" i="2"/>
  <c r="AB69" i="2"/>
  <c r="AD69" i="2" s="1"/>
  <c r="Z69" i="2"/>
  <c r="Y69" i="2"/>
  <c r="AA69" i="2" s="1"/>
  <c r="W69" i="2"/>
  <c r="V69" i="2"/>
  <c r="T69" i="2"/>
  <c r="S69" i="2"/>
  <c r="Q69" i="2"/>
  <c r="P69" i="2"/>
  <c r="N69" i="2"/>
  <c r="M69" i="2"/>
  <c r="K69" i="2"/>
  <c r="AO69" i="2" s="1"/>
  <c r="J69" i="2"/>
  <c r="AN69" i="2" s="1"/>
  <c r="AT61" i="2"/>
  <c r="AX60" i="2"/>
  <c r="AU65" i="2"/>
  <c r="AU64" i="2"/>
  <c r="AU63" i="2"/>
  <c r="AU62" i="2"/>
  <c r="AU60" i="2"/>
  <c r="AT60" i="2"/>
  <c r="AT62" i="2"/>
  <c r="AT64" i="2"/>
  <c r="AT65" i="2"/>
  <c r="AY60" i="2"/>
  <c r="AX62" i="2"/>
  <c r="AY62" i="2"/>
  <c r="AY63" i="2"/>
  <c r="AY61" i="2"/>
  <c r="AX61" i="2"/>
  <c r="AY64" i="2"/>
  <c r="AX64" i="2"/>
  <c r="AY65" i="2"/>
  <c r="AC62" i="2"/>
  <c r="AL66" i="2"/>
  <c r="AK65" i="2"/>
  <c r="AM65" i="2" s="1"/>
  <c r="AK64" i="2"/>
  <c r="AM64" i="2" s="1"/>
  <c r="AK63" i="2"/>
  <c r="AM63" i="2" s="1"/>
  <c r="AK62" i="2"/>
  <c r="AM62" i="2" s="1"/>
  <c r="AK61" i="2"/>
  <c r="AM61" i="2" s="1"/>
  <c r="AK60" i="2"/>
  <c r="AK66" i="2" s="1"/>
  <c r="AI66" i="2"/>
  <c r="AH65" i="2"/>
  <c r="AJ65" i="2" s="1"/>
  <c r="AH64" i="2"/>
  <c r="AJ64" i="2" s="1"/>
  <c r="AH63" i="2"/>
  <c r="AJ63" i="2" s="1"/>
  <c r="AH62" i="2"/>
  <c r="AJ62" i="2" s="1"/>
  <c r="AH61" i="2"/>
  <c r="AJ61" i="2" s="1"/>
  <c r="AH60" i="2"/>
  <c r="AH66" i="2" s="1"/>
  <c r="AF65" i="2"/>
  <c r="AF64" i="2"/>
  <c r="AF63" i="2"/>
  <c r="AF62" i="2"/>
  <c r="AF61" i="2"/>
  <c r="AF60" i="2"/>
  <c r="AE65" i="2"/>
  <c r="AE64" i="2"/>
  <c r="AE63" i="2"/>
  <c r="AE62" i="2"/>
  <c r="AE61" i="2"/>
  <c r="AG61" i="2" s="1"/>
  <c r="AE60" i="2"/>
  <c r="AE66" i="2" s="1"/>
  <c r="AC65" i="2"/>
  <c r="AC64" i="2"/>
  <c r="AC63" i="2"/>
  <c r="AC61" i="2"/>
  <c r="AD65" i="2"/>
  <c r="AC60" i="2"/>
  <c r="AB65" i="2"/>
  <c r="AB64" i="2"/>
  <c r="AB63" i="2"/>
  <c r="AD63" i="2" s="1"/>
  <c r="AB62" i="2"/>
  <c r="AB61" i="2"/>
  <c r="AD61" i="2" s="1"/>
  <c r="AB60" i="2"/>
  <c r="AB66" i="2" s="1"/>
  <c r="Z66" i="2"/>
  <c r="Y65" i="2"/>
  <c r="AA65" i="2" s="1"/>
  <c r="Y64" i="2"/>
  <c r="AA64" i="2" s="1"/>
  <c r="Y63" i="2"/>
  <c r="AA63" i="2" s="1"/>
  <c r="Y62" i="2"/>
  <c r="AA62" i="2" s="1"/>
  <c r="Y61" i="2"/>
  <c r="AA61" i="2" s="1"/>
  <c r="Y60" i="2"/>
  <c r="Y66" i="2" s="1"/>
  <c r="W65" i="2"/>
  <c r="W64" i="2"/>
  <c r="W63" i="2"/>
  <c r="W62" i="2"/>
  <c r="W61" i="2"/>
  <c r="W60" i="2"/>
  <c r="V65" i="2"/>
  <c r="V64" i="2"/>
  <c r="V63" i="2"/>
  <c r="V62" i="2"/>
  <c r="V61" i="2"/>
  <c r="V60" i="2"/>
  <c r="T65" i="2"/>
  <c r="T64" i="2"/>
  <c r="T63" i="2"/>
  <c r="T62" i="2"/>
  <c r="T61" i="2"/>
  <c r="T60" i="2"/>
  <c r="S65" i="2"/>
  <c r="S64" i="2"/>
  <c r="S63" i="2"/>
  <c r="S62" i="2"/>
  <c r="S61" i="2"/>
  <c r="S60" i="2"/>
  <c r="Q65" i="2"/>
  <c r="Q64" i="2"/>
  <c r="Q63" i="2"/>
  <c r="Q62" i="2"/>
  <c r="Q61" i="2"/>
  <c r="Q60" i="2"/>
  <c r="P65" i="2"/>
  <c r="P64" i="2"/>
  <c r="P63" i="2"/>
  <c r="P62" i="2"/>
  <c r="P61" i="2"/>
  <c r="P60" i="2"/>
  <c r="N65" i="2"/>
  <c r="N63" i="2"/>
  <c r="N64" i="2"/>
  <c r="N62" i="2"/>
  <c r="N61" i="2"/>
  <c r="N60" i="2"/>
  <c r="M65" i="2"/>
  <c r="M64" i="2"/>
  <c r="M63" i="2"/>
  <c r="M62" i="2"/>
  <c r="M61" i="2"/>
  <c r="M60" i="2"/>
  <c r="K65" i="2"/>
  <c r="AO65" i="2" s="1"/>
  <c r="K64" i="2"/>
  <c r="AO64" i="2" s="1"/>
  <c r="K63" i="2"/>
  <c r="AO63" i="2" s="1"/>
  <c r="K62" i="2"/>
  <c r="AO62" i="2" s="1"/>
  <c r="K61" i="2"/>
  <c r="AO61" i="2" s="1"/>
  <c r="K60" i="2"/>
  <c r="AO60" i="2" s="1"/>
  <c r="J65" i="2"/>
  <c r="AN65" i="2" s="1"/>
  <c r="AP65" i="2" s="1"/>
  <c r="J64" i="2"/>
  <c r="AN64" i="2" s="1"/>
  <c r="AP64" i="2" s="1"/>
  <c r="J63" i="2"/>
  <c r="AN63" i="2" s="1"/>
  <c r="AP63" i="2" s="1"/>
  <c r="J62" i="2"/>
  <c r="AN62" i="2" s="1"/>
  <c r="AP62" i="2" s="1"/>
  <c r="J61" i="2"/>
  <c r="AN61" i="2" s="1"/>
  <c r="AP61" i="2" s="1"/>
  <c r="J60" i="2"/>
  <c r="AN60" i="2" s="1"/>
  <c r="AP60" i="2" s="1"/>
  <c r="AR65" i="2"/>
  <c r="AR64" i="2"/>
  <c r="AR63" i="2"/>
  <c r="AR62" i="2"/>
  <c r="AR61" i="2"/>
  <c r="AR60" i="2"/>
  <c r="AQ60" i="2"/>
  <c r="AQ65" i="2"/>
  <c r="AQ64" i="2"/>
  <c r="AQ63" i="2"/>
  <c r="AQ62" i="2"/>
  <c r="AQ61" i="2"/>
  <c r="AY54" i="2"/>
  <c r="AX56" i="2"/>
  <c r="AZ56" i="2" s="1"/>
  <c r="AX55" i="2"/>
  <c r="AZ55" i="2" s="1"/>
  <c r="AY56" i="2"/>
  <c r="AX54" i="2"/>
  <c r="AZ54" i="2" s="1"/>
  <c r="AQ54" i="2"/>
  <c r="AR56" i="2"/>
  <c r="AR55" i="2"/>
  <c r="AR54" i="2"/>
  <c r="AQ56" i="2"/>
  <c r="AQ55" i="2"/>
  <c r="AL56" i="2"/>
  <c r="AL55" i="2"/>
  <c r="AL54" i="2"/>
  <c r="AL57" i="2" s="1"/>
  <c r="AK56" i="2"/>
  <c r="AM56" i="2" s="1"/>
  <c r="AK55" i="2"/>
  <c r="AM55" i="2" s="1"/>
  <c r="AK54" i="2"/>
  <c r="AK57" i="2" s="1"/>
  <c r="AI56" i="2"/>
  <c r="AI55" i="2"/>
  <c r="AI54" i="2"/>
  <c r="AI57" i="2" s="1"/>
  <c r="AH56" i="2"/>
  <c r="AJ56" i="2" s="1"/>
  <c r="AH55" i="2"/>
  <c r="AJ55" i="2" s="1"/>
  <c r="AH54" i="2"/>
  <c r="AH57" i="2" s="1"/>
  <c r="AF56" i="2"/>
  <c r="AF55" i="2"/>
  <c r="AF54" i="2"/>
  <c r="AF57" i="2" s="1"/>
  <c r="AE56" i="2"/>
  <c r="AG56" i="2" s="1"/>
  <c r="AE55" i="2"/>
  <c r="AG55" i="2" s="1"/>
  <c r="AE54" i="2"/>
  <c r="AE57" i="2" s="1"/>
  <c r="AC56" i="2"/>
  <c r="AC55" i="2"/>
  <c r="AC54" i="2"/>
  <c r="AC57" i="2" s="1"/>
  <c r="AB56" i="2"/>
  <c r="AD56" i="2" s="1"/>
  <c r="AB55" i="2"/>
  <c r="AD55" i="2" s="1"/>
  <c r="AB54" i="2"/>
  <c r="AB57" i="2" s="1"/>
  <c r="Z56" i="2"/>
  <c r="Z55" i="2"/>
  <c r="Z54" i="2"/>
  <c r="Z57" i="2" s="1"/>
  <c r="Y56" i="2"/>
  <c r="AA56" i="2" s="1"/>
  <c r="Y55" i="2"/>
  <c r="AA55" i="2" s="1"/>
  <c r="Y54" i="2"/>
  <c r="Y57" i="2" s="1"/>
  <c r="W56" i="2"/>
  <c r="W55" i="2"/>
  <c r="W54" i="2"/>
  <c r="V56" i="2"/>
  <c r="V55" i="2"/>
  <c r="V54" i="2"/>
  <c r="T56" i="2"/>
  <c r="T55" i="2"/>
  <c r="T54" i="2"/>
  <c r="S56" i="2"/>
  <c r="S55" i="2"/>
  <c r="S54" i="2"/>
  <c r="Q56" i="2"/>
  <c r="Q55" i="2"/>
  <c r="Q54" i="2"/>
  <c r="P56" i="2"/>
  <c r="P55" i="2"/>
  <c r="P54" i="2"/>
  <c r="N56" i="2"/>
  <c r="N55" i="2"/>
  <c r="N54" i="2"/>
  <c r="M56" i="2"/>
  <c r="M55" i="2"/>
  <c r="M54" i="2"/>
  <c r="K56" i="2"/>
  <c r="AO56" i="2" s="1"/>
  <c r="K55" i="2"/>
  <c r="AO55" i="2" s="1"/>
  <c r="K54" i="2"/>
  <c r="AO54" i="2" s="1"/>
  <c r="J56" i="2"/>
  <c r="AN56" i="2" s="1"/>
  <c r="J55" i="2"/>
  <c r="AN55" i="2" s="1"/>
  <c r="J54" i="2"/>
  <c r="AN54" i="2" s="1"/>
  <c r="L54" i="2" l="1"/>
  <c r="L55" i="2"/>
  <c r="AD54" i="2"/>
  <c r="AD57" i="2" s="1"/>
  <c r="AG54" i="2"/>
  <c r="AG57" i="2" s="1"/>
  <c r="AJ54" i="2"/>
  <c r="AJ57" i="2" s="1"/>
  <c r="AM54" i="2"/>
  <c r="AM57" i="2" s="1"/>
  <c r="AA60" i="2"/>
  <c r="AA66" i="2" s="1"/>
  <c r="AD60" i="2"/>
  <c r="AG60" i="2"/>
  <c r="AG64" i="2"/>
  <c r="AJ60" i="2"/>
  <c r="AJ66" i="2" s="1"/>
  <c r="AM60" i="2"/>
  <c r="AM66" i="2" s="1"/>
  <c r="AD75" i="2"/>
  <c r="L56" i="2"/>
  <c r="AA54" i="2"/>
  <c r="AA57" i="2" s="1"/>
  <c r="AD64" i="2"/>
  <c r="AG63" i="2"/>
  <c r="AG65" i="2"/>
  <c r="AO73" i="2"/>
  <c r="K75" i="2"/>
  <c r="V75" i="2"/>
  <c r="AC75" i="2"/>
  <c r="AF75" i="2"/>
  <c r="AH75" i="2"/>
  <c r="AJ74" i="2"/>
  <c r="AJ75" i="2" s="1"/>
  <c r="AA78" i="2"/>
  <c r="AA80" i="2" s="1"/>
  <c r="J80" i="2"/>
  <c r="K80" i="2"/>
  <c r="AM73" i="2"/>
  <c r="AN80" i="2"/>
  <c r="G28" i="3" s="1"/>
  <c r="I28" i="3" s="1"/>
  <c r="L27" i="3"/>
  <c r="AM75" i="2"/>
  <c r="AI75" i="2"/>
  <c r="AG75" i="2"/>
  <c r="Z75" i="2"/>
  <c r="Y75" i="2"/>
  <c r="W75" i="2"/>
  <c r="AF66" i="2"/>
  <c r="AG62" i="2"/>
  <c r="AG66" i="2" s="1"/>
  <c r="AC66" i="2"/>
  <c r="AD62" i="2"/>
  <c r="AD66" i="2" s="1"/>
  <c r="AZ60" i="2" l="1"/>
  <c r="AZ61" i="2"/>
  <c r="AZ62" i="2"/>
  <c r="AZ64" i="2"/>
  <c r="AZ65" i="2"/>
  <c r="T28" i="3"/>
  <c r="U29" i="3"/>
  <c r="U38" i="3" s="1"/>
  <c r="AQ44" i="2"/>
  <c r="AQ45" i="2" s="1"/>
  <c r="K44" i="2"/>
  <c r="K45" i="2" s="1"/>
  <c r="AT44" i="2"/>
  <c r="AT45" i="2" s="1"/>
  <c r="AV45" i="2"/>
  <c r="AV46" i="2" s="1"/>
  <c r="AQ38" i="2"/>
  <c r="AQ36" i="2"/>
  <c r="AX38" i="2"/>
  <c r="AX36" i="2"/>
  <c r="AT40" i="2"/>
  <c r="AT39" i="2"/>
  <c r="AL44" i="2"/>
  <c r="AL45" i="2" s="1"/>
  <c r="AK44" i="2"/>
  <c r="AK45" i="2" s="1"/>
  <c r="AL40" i="2"/>
  <c r="AL39" i="2"/>
  <c r="AL38" i="2"/>
  <c r="AL37" i="2"/>
  <c r="AL36" i="2"/>
  <c r="AK40" i="2"/>
  <c r="AM40" i="2" s="1"/>
  <c r="AK39" i="2"/>
  <c r="AM39" i="2" s="1"/>
  <c r="AK38" i="2"/>
  <c r="AK37" i="2"/>
  <c r="AM37" i="2" s="1"/>
  <c r="AK36" i="2"/>
  <c r="AI44" i="2"/>
  <c r="AI45" i="2" s="1"/>
  <c r="AH44" i="2"/>
  <c r="AH45" i="2" s="1"/>
  <c r="AI40" i="2"/>
  <c r="AI39" i="2"/>
  <c r="AI38" i="2"/>
  <c r="AI37" i="2"/>
  <c r="AI36" i="2"/>
  <c r="AI41" i="2" s="1"/>
  <c r="AH40" i="2"/>
  <c r="AH39" i="2"/>
  <c r="AH38" i="2"/>
  <c r="AH37" i="2"/>
  <c r="AH36" i="2"/>
  <c r="AF44" i="2"/>
  <c r="AF45" i="2" s="1"/>
  <c r="AE44" i="2"/>
  <c r="AF40" i="2"/>
  <c r="AF39" i="2"/>
  <c r="AF38" i="2"/>
  <c r="AF37" i="2"/>
  <c r="AF36" i="2"/>
  <c r="AE40" i="2"/>
  <c r="AE39" i="2"/>
  <c r="AG39" i="2" s="1"/>
  <c r="AE38" i="2"/>
  <c r="AE37" i="2"/>
  <c r="AG37" i="2" s="1"/>
  <c r="AE36" i="2"/>
  <c r="AE41" i="2" s="1"/>
  <c r="AC44" i="2"/>
  <c r="AC45" i="2" s="1"/>
  <c r="AB44" i="2"/>
  <c r="AB45" i="2" s="1"/>
  <c r="AC40" i="2"/>
  <c r="AC39" i="2"/>
  <c r="AC38" i="2"/>
  <c r="AC37" i="2"/>
  <c r="AC36" i="2"/>
  <c r="AC41" i="2" s="1"/>
  <c r="AC46" i="2" s="1"/>
  <c r="AB40" i="2"/>
  <c r="AD40" i="2" s="1"/>
  <c r="AB39" i="2"/>
  <c r="AD39" i="2" s="1"/>
  <c r="AB38" i="2"/>
  <c r="AD38" i="2" s="1"/>
  <c r="AB37" i="2"/>
  <c r="AD37" i="2" s="1"/>
  <c r="AB36" i="2"/>
  <c r="AD36" i="2" s="1"/>
  <c r="Z44" i="2"/>
  <c r="Z45" i="2" s="1"/>
  <c r="Z40" i="2"/>
  <c r="Z39" i="2"/>
  <c r="Z38" i="2"/>
  <c r="Z37" i="2"/>
  <c r="Z36" i="2"/>
  <c r="Y44" i="2"/>
  <c r="Y45" i="2" s="1"/>
  <c r="Y40" i="2"/>
  <c r="AA40" i="2" s="1"/>
  <c r="Y39" i="2"/>
  <c r="AA39" i="2" s="1"/>
  <c r="Y38" i="2"/>
  <c r="AA38" i="2" s="1"/>
  <c r="Y37" i="2"/>
  <c r="Y36" i="2"/>
  <c r="Y41" i="2" s="1"/>
  <c r="W40" i="2"/>
  <c r="W39" i="2"/>
  <c r="W38" i="2"/>
  <c r="W37" i="2"/>
  <c r="W36" i="2"/>
  <c r="W44" i="2"/>
  <c r="W45" i="2" s="1"/>
  <c r="V44" i="2"/>
  <c r="V45" i="2" s="1"/>
  <c r="V40" i="2"/>
  <c r="V39" i="2"/>
  <c r="V38" i="2"/>
  <c r="V37" i="2"/>
  <c r="V36" i="2"/>
  <c r="T40" i="2"/>
  <c r="T39" i="2"/>
  <c r="T38" i="2"/>
  <c r="T37" i="2"/>
  <c r="T36" i="2"/>
  <c r="T44" i="2"/>
  <c r="T45" i="2" s="1"/>
  <c r="S44" i="2"/>
  <c r="S45" i="2" s="1"/>
  <c r="S40" i="2"/>
  <c r="S39" i="2"/>
  <c r="S38" i="2"/>
  <c r="S37" i="2"/>
  <c r="S36" i="2"/>
  <c r="S41" i="2" s="1"/>
  <c r="Q40" i="2"/>
  <c r="Q39" i="2"/>
  <c r="Q38" i="2"/>
  <c r="Q37" i="2"/>
  <c r="Q36" i="2"/>
  <c r="Q41" i="2" s="1"/>
  <c r="Q44" i="2"/>
  <c r="Q45" i="2" s="1"/>
  <c r="P44" i="2"/>
  <c r="R44" i="2" s="1"/>
  <c r="R45" i="2" s="1"/>
  <c r="P40" i="2"/>
  <c r="P39" i="2"/>
  <c r="P38" i="2"/>
  <c r="P37" i="2"/>
  <c r="P41" i="2" s="1"/>
  <c r="P36" i="2"/>
  <c r="N44" i="2"/>
  <c r="N45" i="2" s="1"/>
  <c r="M44" i="2"/>
  <c r="M45" i="2" s="1"/>
  <c r="M40" i="2"/>
  <c r="M39" i="2"/>
  <c r="M38" i="2"/>
  <c r="M37" i="2"/>
  <c r="N40" i="2"/>
  <c r="N39" i="2"/>
  <c r="N38" i="2"/>
  <c r="N37" i="2"/>
  <c r="N36" i="2"/>
  <c r="M36" i="2"/>
  <c r="M41" i="2" s="1"/>
  <c r="K40" i="2"/>
  <c r="K39" i="2"/>
  <c r="K38" i="2"/>
  <c r="K37" i="2"/>
  <c r="K36" i="2"/>
  <c r="K41" i="2" s="1"/>
  <c r="J44" i="2"/>
  <c r="L44" i="2" s="1"/>
  <c r="L45" i="2" s="1"/>
  <c r="J40" i="2"/>
  <c r="J39" i="2"/>
  <c r="J38" i="2"/>
  <c r="J37" i="2"/>
  <c r="AN37" i="2" s="1"/>
  <c r="J36" i="2"/>
  <c r="AY26" i="2"/>
  <c r="AR26" i="2"/>
  <c r="AQ26" i="2"/>
  <c r="AQ25" i="2"/>
  <c r="AQ23" i="2"/>
  <c r="AX26" i="2"/>
  <c r="AX25" i="2"/>
  <c r="AX24" i="2"/>
  <c r="AX23" i="2"/>
  <c r="AT25" i="2"/>
  <c r="AT24" i="2"/>
  <c r="AT23" i="2"/>
  <c r="AL26" i="2"/>
  <c r="AL25" i="2"/>
  <c r="AL24" i="2"/>
  <c r="AK26" i="2"/>
  <c r="AK25" i="2"/>
  <c r="AK27" i="2" s="1"/>
  <c r="AK24" i="2"/>
  <c r="AL23" i="2"/>
  <c r="AM23" i="2" s="1"/>
  <c r="AK23" i="2"/>
  <c r="AI26" i="2"/>
  <c r="AI25" i="2"/>
  <c r="AI24" i="2"/>
  <c r="AH26" i="2"/>
  <c r="AH25" i="2"/>
  <c r="AJ25" i="2" s="1"/>
  <c r="AH24" i="2"/>
  <c r="AI23" i="2"/>
  <c r="AH23" i="2"/>
  <c r="AF26" i="2"/>
  <c r="AF25" i="2"/>
  <c r="AF24" i="2"/>
  <c r="AE26" i="2"/>
  <c r="AE25" i="2"/>
  <c r="AE24" i="2"/>
  <c r="AG26" i="2"/>
  <c r="AF23" i="2"/>
  <c r="AE23" i="2"/>
  <c r="AG23" i="2" s="1"/>
  <c r="AC26" i="2"/>
  <c r="AC25" i="2"/>
  <c r="AC24" i="2"/>
  <c r="AC23" i="2"/>
  <c r="AB26" i="2"/>
  <c r="AD26" i="2" s="1"/>
  <c r="AB25" i="2"/>
  <c r="AD25" i="2" s="1"/>
  <c r="AB24" i="2"/>
  <c r="AB23" i="2"/>
  <c r="Z26" i="2"/>
  <c r="Z25" i="2"/>
  <c r="Z24" i="2"/>
  <c r="Z23" i="2"/>
  <c r="Y26" i="2"/>
  <c r="AA26" i="2" s="1"/>
  <c r="Y25" i="2"/>
  <c r="Y24" i="2"/>
  <c r="Y23" i="2"/>
  <c r="AA23" i="2" s="1"/>
  <c r="W26" i="2"/>
  <c r="W25" i="2"/>
  <c r="W24" i="2"/>
  <c r="W23" i="2"/>
  <c r="V26" i="2"/>
  <c r="V25" i="2"/>
  <c r="V24" i="2"/>
  <c r="V23" i="2"/>
  <c r="T26" i="2"/>
  <c r="T25" i="2"/>
  <c r="T24" i="2"/>
  <c r="T23" i="2"/>
  <c r="S26" i="2"/>
  <c r="S25" i="2"/>
  <c r="S24" i="2"/>
  <c r="S23" i="2"/>
  <c r="Q26" i="2"/>
  <c r="Q25" i="2"/>
  <c r="Q24" i="2"/>
  <c r="Q23" i="2"/>
  <c r="P26" i="2"/>
  <c r="P25" i="2"/>
  <c r="P24" i="2"/>
  <c r="P23" i="2"/>
  <c r="N26" i="2"/>
  <c r="N25" i="2"/>
  <c r="N24" i="2"/>
  <c r="N23" i="2"/>
  <c r="M26" i="2"/>
  <c r="M25" i="2"/>
  <c r="M24" i="2"/>
  <c r="M23" i="2"/>
  <c r="K26" i="2"/>
  <c r="K25" i="2"/>
  <c r="AO25" i="2" s="1"/>
  <c r="K24" i="2"/>
  <c r="K23" i="2"/>
  <c r="AO23" i="2" s="1"/>
  <c r="J26" i="2"/>
  <c r="AN26" i="2" s="1"/>
  <c r="J25" i="2"/>
  <c r="AN25" i="2" s="1"/>
  <c r="J24" i="2"/>
  <c r="AN24" i="2" s="1"/>
  <c r="J23" i="2"/>
  <c r="AN23" i="2" s="1"/>
  <c r="AX17" i="2"/>
  <c r="AY17" i="2"/>
  <c r="AX16" i="2"/>
  <c r="AQ17" i="2"/>
  <c r="AR19" i="2"/>
  <c r="AR18" i="2"/>
  <c r="AQ19" i="2"/>
  <c r="AQ18" i="2"/>
  <c r="AR17" i="2"/>
  <c r="AR16" i="2"/>
  <c r="AQ16" i="2"/>
  <c r="AL19" i="2"/>
  <c r="AM19" i="2" s="1"/>
  <c r="AK19" i="2"/>
  <c r="AL18" i="2"/>
  <c r="AK18" i="2"/>
  <c r="AL17" i="2"/>
  <c r="AK17" i="2"/>
  <c r="AL16" i="2"/>
  <c r="AK16" i="2"/>
  <c r="AI19" i="2"/>
  <c r="AH19" i="2"/>
  <c r="AI18" i="2"/>
  <c r="AH18" i="2"/>
  <c r="AI17" i="2"/>
  <c r="AH17" i="2"/>
  <c r="AI16" i="2"/>
  <c r="AH16" i="2"/>
  <c r="AF19" i="2"/>
  <c r="AE19" i="2"/>
  <c r="AF18" i="2"/>
  <c r="AE18" i="2"/>
  <c r="AF17" i="2"/>
  <c r="AE17" i="2"/>
  <c r="AF16" i="2"/>
  <c r="AE16" i="2"/>
  <c r="AG16" i="2" s="1"/>
  <c r="AC19" i="2"/>
  <c r="AB19" i="2"/>
  <c r="AC18" i="2"/>
  <c r="AB18" i="2"/>
  <c r="AD18" i="2" s="1"/>
  <c r="AC17" i="2"/>
  <c r="AB17" i="2"/>
  <c r="AF20" i="2"/>
  <c r="AC16" i="2"/>
  <c r="AB16" i="2"/>
  <c r="Z19" i="2"/>
  <c r="AA19" i="2" s="1"/>
  <c r="Y19" i="2"/>
  <c r="Z18" i="2"/>
  <c r="AA18" i="2" s="1"/>
  <c r="Y18" i="2"/>
  <c r="Z17" i="2"/>
  <c r="AO17" i="2" s="1"/>
  <c r="Y17" i="2"/>
  <c r="Z16" i="2"/>
  <c r="Y16" i="2"/>
  <c r="Y20" i="2" s="1"/>
  <c r="W19" i="2"/>
  <c r="V19" i="2"/>
  <c r="W18" i="2"/>
  <c r="V18" i="2"/>
  <c r="W17" i="2"/>
  <c r="V17" i="2"/>
  <c r="W16" i="2"/>
  <c r="V16" i="2"/>
  <c r="T19" i="2"/>
  <c r="S19" i="2"/>
  <c r="T18" i="2"/>
  <c r="S18" i="2"/>
  <c r="T17" i="2"/>
  <c r="S17" i="2"/>
  <c r="T16" i="2"/>
  <c r="S16" i="2"/>
  <c r="Q19" i="2"/>
  <c r="P19" i="2"/>
  <c r="Q18" i="2"/>
  <c r="P18" i="2"/>
  <c r="Q17" i="2"/>
  <c r="P17" i="2"/>
  <c r="Q16" i="2"/>
  <c r="P16" i="2"/>
  <c r="N19" i="2"/>
  <c r="M19" i="2"/>
  <c r="N18" i="2"/>
  <c r="M18" i="2"/>
  <c r="N17" i="2"/>
  <c r="M17" i="2"/>
  <c r="N16" i="2"/>
  <c r="M16" i="2"/>
  <c r="K19" i="2"/>
  <c r="J19" i="2"/>
  <c r="AN19" i="2" s="1"/>
  <c r="K18" i="2"/>
  <c r="J18" i="2"/>
  <c r="AN18" i="2" s="1"/>
  <c r="K17" i="2"/>
  <c r="J17" i="2"/>
  <c r="AN17" i="2" s="1"/>
  <c r="K16" i="2"/>
  <c r="J16" i="2"/>
  <c r="AN16" i="2" s="1"/>
  <c r="AX12" i="2"/>
  <c r="AQ12" i="2"/>
  <c r="AT12" i="2"/>
  <c r="AX10" i="2"/>
  <c r="AX11" i="2"/>
  <c r="AU11" i="2"/>
  <c r="AQ10" i="2"/>
  <c r="AR12" i="2"/>
  <c r="AT10" i="2"/>
  <c r="AT11" i="2"/>
  <c r="AL12" i="2"/>
  <c r="AK12" i="2"/>
  <c r="AM12" i="2" s="1"/>
  <c r="AL11" i="2"/>
  <c r="AK11" i="2"/>
  <c r="AL10" i="2"/>
  <c r="AK10" i="2"/>
  <c r="AK13" i="2" s="1"/>
  <c r="AI12" i="2"/>
  <c r="AH12" i="2"/>
  <c r="AI11" i="2"/>
  <c r="AH11" i="2"/>
  <c r="AJ11" i="2" s="1"/>
  <c r="AI10" i="2"/>
  <c r="AI13" i="2" s="1"/>
  <c r="AH10" i="2"/>
  <c r="AF12" i="2"/>
  <c r="AE12" i="2"/>
  <c r="AF11" i="2"/>
  <c r="AG11" i="2" s="1"/>
  <c r="AE11" i="2"/>
  <c r="AF10" i="2"/>
  <c r="AE10" i="2"/>
  <c r="AG10" i="2" s="1"/>
  <c r="AC12" i="2"/>
  <c r="AB12" i="2"/>
  <c r="AC11" i="2"/>
  <c r="AB11" i="2"/>
  <c r="AD11" i="2"/>
  <c r="AD12" i="2"/>
  <c r="AC10" i="2"/>
  <c r="AD10" i="2"/>
  <c r="AB10" i="2"/>
  <c r="Z12" i="2"/>
  <c r="Y12" i="2"/>
  <c r="AA12" i="2" s="1"/>
  <c r="Z11" i="2"/>
  <c r="Y11" i="2"/>
  <c r="Z10" i="2"/>
  <c r="Y10" i="2"/>
  <c r="AA10" i="2" s="1"/>
  <c r="W12" i="2"/>
  <c r="V12" i="2"/>
  <c r="W11" i="2"/>
  <c r="V11" i="2"/>
  <c r="W10" i="2"/>
  <c r="V10" i="2"/>
  <c r="T12" i="2"/>
  <c r="S12" i="2"/>
  <c r="T11" i="2"/>
  <c r="S11" i="2"/>
  <c r="T10" i="2"/>
  <c r="S10" i="2"/>
  <c r="Q12" i="2"/>
  <c r="P12" i="2"/>
  <c r="Q11" i="2"/>
  <c r="P11" i="2"/>
  <c r="Q10" i="2"/>
  <c r="P10" i="2"/>
  <c r="N12" i="2"/>
  <c r="M12" i="2"/>
  <c r="N11" i="2"/>
  <c r="M11" i="2"/>
  <c r="N10" i="2"/>
  <c r="M10" i="2"/>
  <c r="O10" i="2"/>
  <c r="K12" i="2"/>
  <c r="AO12" i="2" s="1"/>
  <c r="J12" i="2"/>
  <c r="K11" i="2"/>
  <c r="AO11" i="2" s="1"/>
  <c r="J11" i="2"/>
  <c r="K10" i="2"/>
  <c r="AO10" i="2" s="1"/>
  <c r="J10" i="2"/>
  <c r="Y95" i="2"/>
  <c r="Y99" i="2" s="1"/>
  <c r="Y100" i="2" s="1"/>
  <c r="Z95" i="2"/>
  <c r="Z99" i="2" s="1"/>
  <c r="Z100" i="2" s="1"/>
  <c r="AA95" i="2"/>
  <c r="AA99" i="2" s="1"/>
  <c r="AA100" i="2" s="1"/>
  <c r="AB95" i="2"/>
  <c r="AB99" i="2" s="1"/>
  <c r="AB100" i="2" s="1"/>
  <c r="AC95" i="2"/>
  <c r="AC99" i="2" s="1"/>
  <c r="AC100" i="2" s="1"/>
  <c r="AD95" i="2"/>
  <c r="AD99" i="2" s="1"/>
  <c r="AD100" i="2" s="1"/>
  <c r="AE95" i="2"/>
  <c r="AE99" i="2" s="1"/>
  <c r="AE100" i="2" s="1"/>
  <c r="AF95" i="2"/>
  <c r="AF99" i="2" s="1"/>
  <c r="AF100" i="2" s="1"/>
  <c r="AG95" i="2"/>
  <c r="AG99" i="2" s="1"/>
  <c r="AG100" i="2" s="1"/>
  <c r="AH95" i="2"/>
  <c r="AH99" i="2" s="1"/>
  <c r="AH100" i="2" s="1"/>
  <c r="AI95" i="2"/>
  <c r="AI99" i="2" s="1"/>
  <c r="AI100" i="2" s="1"/>
  <c r="AJ95" i="2"/>
  <c r="AJ99" i="2" s="1"/>
  <c r="AJ100" i="2" s="1"/>
  <c r="AK95" i="2"/>
  <c r="AK99" i="2" s="1"/>
  <c r="AK100" i="2" s="1"/>
  <c r="AL95" i="2"/>
  <c r="AL99" i="2" s="1"/>
  <c r="AL100" i="2" s="1"/>
  <c r="AM95" i="2"/>
  <c r="AM99" i="2" s="1"/>
  <c r="AM100" i="2" s="1"/>
  <c r="AV95" i="2"/>
  <c r="AV99" i="2" s="1"/>
  <c r="AV100" i="2" s="1"/>
  <c r="AV81" i="2"/>
  <c r="AM70" i="2"/>
  <c r="AM81" i="2" s="1"/>
  <c r="AC70" i="2"/>
  <c r="AC81" i="2" s="1"/>
  <c r="AD70" i="2"/>
  <c r="AD81" i="2" s="1"/>
  <c r="AE70" i="2"/>
  <c r="AE81" i="2" s="1"/>
  <c r="AF70" i="2"/>
  <c r="AF81" i="2" s="1"/>
  <c r="AG70" i="2"/>
  <c r="AG81" i="2" s="1"/>
  <c r="AH70" i="2"/>
  <c r="AH81" i="2" s="1"/>
  <c r="AI70" i="2"/>
  <c r="AI81" i="2" s="1"/>
  <c r="AJ70" i="2"/>
  <c r="AJ81" i="2" s="1"/>
  <c r="AK70" i="2"/>
  <c r="AK81" i="2" s="1"/>
  <c r="AL70" i="2"/>
  <c r="AL81" i="2" s="1"/>
  <c r="Y70" i="2"/>
  <c r="Y81" i="2" s="1"/>
  <c r="Z70" i="2"/>
  <c r="Z81" i="2" s="1"/>
  <c r="AA70" i="2"/>
  <c r="AA81" i="2" s="1"/>
  <c r="AB70" i="2"/>
  <c r="AB81" i="2" s="1"/>
  <c r="AN11" i="2" l="1"/>
  <c r="AP11" i="2" s="1"/>
  <c r="AN10" i="2"/>
  <c r="AM10" i="2"/>
  <c r="AN12" i="2"/>
  <c r="AD13" i="2"/>
  <c r="AB13" i="2"/>
  <c r="AH13" i="2"/>
  <c r="AJ10" i="2"/>
  <c r="AO16" i="2"/>
  <c r="AO18" i="2"/>
  <c r="AD16" i="2"/>
  <c r="AB20" i="2"/>
  <c r="AG17" i="2"/>
  <c r="AG18" i="2"/>
  <c r="AG19" i="2"/>
  <c r="AJ16" i="2"/>
  <c r="AM16" i="2"/>
  <c r="AM17" i="2"/>
  <c r="AO24" i="2"/>
  <c r="AO26" i="2"/>
  <c r="AJ23" i="2"/>
  <c r="AJ38" i="2"/>
  <c r="AM38" i="2"/>
  <c r="J18" i="3"/>
  <c r="AA16" i="2"/>
  <c r="AE27" i="2"/>
  <c r="AM24" i="2"/>
  <c r="AM26" i="2"/>
  <c r="N41" i="2"/>
  <c r="AN40" i="2"/>
  <c r="T41" i="2"/>
  <c r="U44" i="2"/>
  <c r="U45" i="2" s="1"/>
  <c r="V41" i="2"/>
  <c r="V46" i="2" s="1"/>
  <c r="W41" i="2"/>
  <c r="AA37" i="2"/>
  <c r="AA36" i="2"/>
  <c r="AG44" i="2"/>
  <c r="AG45" i="2" s="1"/>
  <c r="AH41" i="2"/>
  <c r="AH46" i="2" s="1"/>
  <c r="AJ39" i="2"/>
  <c r="AK41" i="2"/>
  <c r="M18" i="3"/>
  <c r="AD41" i="2"/>
  <c r="AP12" i="2"/>
  <c r="Y46" i="2"/>
  <c r="AI46" i="2"/>
  <c r="AP10" i="2"/>
  <c r="T46" i="2"/>
  <c r="W46" i="2"/>
  <c r="AA41" i="2"/>
  <c r="AK46" i="2"/>
  <c r="Z20" i="2"/>
  <c r="AB27" i="2"/>
  <c r="AB28" i="2" s="1"/>
  <c r="AH27" i="2"/>
  <c r="AJ26" i="2"/>
  <c r="AM25" i="2"/>
  <c r="O44" i="2"/>
  <c r="O45" i="2" s="1"/>
  <c r="AD44" i="2"/>
  <c r="AD45" i="2" s="1"/>
  <c r="AG36" i="2"/>
  <c r="AG38" i="2"/>
  <c r="AJ36" i="2"/>
  <c r="AJ40" i="2"/>
  <c r="AN36" i="2"/>
  <c r="AO36" i="2"/>
  <c r="AO40" i="2"/>
  <c r="AM44" i="2"/>
  <c r="AM45" i="2" s="1"/>
  <c r="AL41" i="2"/>
  <c r="AL46" i="2" s="1"/>
  <c r="Z41" i="2"/>
  <c r="Z46" i="2" s="1"/>
  <c r="P45" i="2"/>
  <c r="K13" i="2"/>
  <c r="AE13" i="2"/>
  <c r="AJ12" i="2"/>
  <c r="AJ13" i="2" s="1"/>
  <c r="AA17" i="2"/>
  <c r="AA20" i="2" s="1"/>
  <c r="AC20" i="2"/>
  <c r="AD19" i="2"/>
  <c r="Y27" i="2"/>
  <c r="AA44" i="2"/>
  <c r="AA45" i="2" s="1"/>
  <c r="AJ44" i="2"/>
  <c r="AJ45" i="2" s="1"/>
  <c r="AO39" i="2"/>
  <c r="AE45" i="2"/>
  <c r="AE46" i="2" s="1"/>
  <c r="AC13" i="2"/>
  <c r="AO19" i="2"/>
  <c r="AO20" i="2" s="1"/>
  <c r="H10" i="3" s="1"/>
  <c r="AA25" i="2"/>
  <c r="AJ24" i="2"/>
  <c r="AG40" i="2"/>
  <c r="AN39" i="2"/>
  <c r="AO38" i="2"/>
  <c r="AF41" i="2"/>
  <c r="AF46" i="2" s="1"/>
  <c r="AB41" i="2"/>
  <c r="AB46" i="2" s="1"/>
  <c r="AA11" i="2"/>
  <c r="AA13" i="2" s="1"/>
  <c r="AM11" i="2"/>
  <c r="AM13" i="2" s="1"/>
  <c r="AJ17" i="2"/>
  <c r="AD23" i="2"/>
  <c r="AJ37" i="2"/>
  <c r="AN38" i="2"/>
  <c r="AO37" i="2"/>
  <c r="AM36" i="2"/>
  <c r="AM41" i="2" s="1"/>
  <c r="AO44" i="2"/>
  <c r="J45" i="2"/>
  <c r="AN44" i="2"/>
  <c r="AN45" i="2" s="1"/>
  <c r="AB101" i="2"/>
  <c r="AL27" i="2"/>
  <c r="AM27" i="2"/>
  <c r="AI27" i="2"/>
  <c r="AJ27" i="2"/>
  <c r="AF27" i="2"/>
  <c r="AG25" i="2"/>
  <c r="AG24" i="2"/>
  <c r="AC27" i="2"/>
  <c r="AC28" i="2" s="1"/>
  <c r="AC101" i="2" s="1"/>
  <c r="AD24" i="2"/>
  <c r="AD27" i="2" s="1"/>
  <c r="Z27" i="2"/>
  <c r="AA24" i="2"/>
  <c r="AA27" i="2" s="1"/>
  <c r="AN20" i="2"/>
  <c r="G10" i="3" s="1"/>
  <c r="AM18" i="2"/>
  <c r="AM20" i="2" s="1"/>
  <c r="AL20" i="2"/>
  <c r="AK20" i="2"/>
  <c r="AK28" i="2" s="1"/>
  <c r="AK101" i="2" s="1"/>
  <c r="AJ19" i="2"/>
  <c r="AI20" i="2"/>
  <c r="AJ18" i="2"/>
  <c r="AJ20" i="2" s="1"/>
  <c r="AH20" i="2"/>
  <c r="AG20" i="2"/>
  <c r="AE20" i="2"/>
  <c r="AE28" i="2" s="1"/>
  <c r="AD17" i="2"/>
  <c r="AL13" i="2"/>
  <c r="AF13" i="2"/>
  <c r="AG12" i="2"/>
  <c r="AG13" i="2" s="1"/>
  <c r="Y13" i="2"/>
  <c r="Z13" i="2"/>
  <c r="AG41" i="2" l="1"/>
  <c r="AG46" i="2" s="1"/>
  <c r="AH28" i="2"/>
  <c r="AH101" i="2" s="1"/>
  <c r="AA46" i="2"/>
  <c r="I10" i="3"/>
  <c r="AE101" i="2"/>
  <c r="AL28" i="2"/>
  <c r="AL101" i="2" s="1"/>
  <c r="AD46" i="2"/>
  <c r="AD20" i="2"/>
  <c r="AD28" i="2" s="1"/>
  <c r="AD101" i="2" s="1"/>
  <c r="AM28" i="2"/>
  <c r="Y28" i="2"/>
  <c r="Y101" i="2" s="1"/>
  <c r="AO41" i="2"/>
  <c r="H17" i="3" s="1"/>
  <c r="G18" i="3"/>
  <c r="AO45" i="2"/>
  <c r="AO46" i="2" s="1"/>
  <c r="H18" i="3"/>
  <c r="AA28" i="2"/>
  <c r="AJ28" i="2"/>
  <c r="AF28" i="2"/>
  <c r="AN41" i="2"/>
  <c r="G17" i="3" s="1"/>
  <c r="Z28" i="2"/>
  <c r="Z101" i="2" s="1"/>
  <c r="AI28" i="2"/>
  <c r="AI101" i="2" s="1"/>
  <c r="AM46" i="2"/>
  <c r="AJ41" i="2"/>
  <c r="AJ46" i="2" s="1"/>
  <c r="AA101" i="2"/>
  <c r="AF101" i="2"/>
  <c r="AG27" i="2"/>
  <c r="AG28" i="2" s="1"/>
  <c r="AG101" i="2" s="1"/>
  <c r="AJ101" i="2" l="1"/>
  <c r="AM101" i="2"/>
  <c r="AN46" i="2"/>
  <c r="H19" i="3"/>
  <c r="V95" i="2" l="1"/>
  <c r="S95" i="2"/>
  <c r="AR98" i="2"/>
  <c r="AR94" i="2"/>
  <c r="AQ95" i="2"/>
  <c r="AY98" i="2"/>
  <c r="AY94" i="2"/>
  <c r="AX95" i="2"/>
  <c r="AT94" i="2"/>
  <c r="AU98" i="2"/>
  <c r="AU94" i="2"/>
  <c r="W98" i="2"/>
  <c r="T98" i="2"/>
  <c r="W94" i="2"/>
  <c r="W95" i="2" s="1"/>
  <c r="T94" i="2"/>
  <c r="T95" i="2" s="1"/>
  <c r="Q98" i="2"/>
  <c r="Q94" i="2"/>
  <c r="Q95" i="2" s="1"/>
  <c r="P95" i="2"/>
  <c r="N98" i="2"/>
  <c r="N94" i="2"/>
  <c r="N95" i="2" s="1"/>
  <c r="M95" i="2"/>
  <c r="K98" i="2"/>
  <c r="AO98" i="2" s="1"/>
  <c r="K94" i="2"/>
  <c r="J95" i="2"/>
  <c r="P35" i="3" l="1"/>
  <c r="AR95" i="2"/>
  <c r="K35" i="3" s="1"/>
  <c r="AR99" i="2"/>
  <c r="K95" i="2"/>
  <c r="AO94" i="2"/>
  <c r="AU95" i="2"/>
  <c r="N35" i="3" s="1"/>
  <c r="AU99" i="2"/>
  <c r="AT95" i="2"/>
  <c r="M35" i="3" s="1"/>
  <c r="AT99" i="2"/>
  <c r="AY95" i="2"/>
  <c r="Q35" i="3" s="1"/>
  <c r="AY99" i="2"/>
  <c r="AQ99" i="2"/>
  <c r="J35" i="3"/>
  <c r="U94" i="2"/>
  <c r="U95" i="2" s="1"/>
  <c r="AS94" i="2"/>
  <c r="AZ94" i="2"/>
  <c r="AW94" i="2"/>
  <c r="AW98" i="2"/>
  <c r="O94" i="2"/>
  <c r="O95" i="2" s="1"/>
  <c r="R94" i="2"/>
  <c r="R95" i="2" s="1"/>
  <c r="O98" i="2"/>
  <c r="R98" i="2"/>
  <c r="U98" i="2"/>
  <c r="AO95" i="2"/>
  <c r="H35" i="3" s="1"/>
  <c r="X98" i="2"/>
  <c r="L94" i="2"/>
  <c r="L95" i="2" s="1"/>
  <c r="AS98" i="2"/>
  <c r="AX98" i="2" s="1"/>
  <c r="AX99" i="2" s="1"/>
  <c r="AN95" i="2"/>
  <c r="X94" i="2"/>
  <c r="X95" i="2" s="1"/>
  <c r="L98" i="2"/>
  <c r="AZ95" i="2" l="1"/>
  <c r="AZ98" i="2"/>
  <c r="AZ99" i="2" s="1"/>
  <c r="AO99" i="2"/>
  <c r="G35" i="3"/>
  <c r="AN99" i="2"/>
  <c r="AW95" i="2"/>
  <c r="AW99" i="2"/>
  <c r="AS95" i="2"/>
  <c r="AS99" i="2"/>
  <c r="AP98" i="2"/>
  <c r="BA98" i="2" s="1"/>
  <c r="AP94" i="2"/>
  <c r="R35" i="3"/>
  <c r="BA94" i="2" l="1"/>
  <c r="AP95" i="2"/>
  <c r="AP99" i="2" s="1"/>
  <c r="AR90" i="2"/>
  <c r="AQ90" i="2"/>
  <c r="AR89" i="2"/>
  <c r="AY90" i="2"/>
  <c r="AY89" i="2"/>
  <c r="AX89" i="2"/>
  <c r="AU90" i="2"/>
  <c r="AT90" i="2"/>
  <c r="AU89" i="2"/>
  <c r="AT89" i="2"/>
  <c r="T90" i="2"/>
  <c r="T89" i="2"/>
  <c r="S89" i="2"/>
  <c r="AN89" i="2" s="1"/>
  <c r="Q90" i="2"/>
  <c r="AO90" i="2" s="1"/>
  <c r="Q89" i="2"/>
  <c r="AO89" i="2" s="1"/>
  <c r="AY79" i="2"/>
  <c r="AY78" i="2"/>
  <c r="AY80" i="2" s="1"/>
  <c r="Q28" i="3" s="1"/>
  <c r="AX78" i="2"/>
  <c r="AX80" i="2" s="1"/>
  <c r="P28" i="3" s="1"/>
  <c r="AY74" i="2"/>
  <c r="AY75" i="2" s="1"/>
  <c r="Q27" i="3" s="1"/>
  <c r="R27" i="3" s="1"/>
  <c r="AX74" i="2"/>
  <c r="AX75" i="2" s="1"/>
  <c r="AY69" i="2"/>
  <c r="AT79" i="2"/>
  <c r="AT78" i="2"/>
  <c r="AT74" i="2"/>
  <c r="AT75" i="2" s="1"/>
  <c r="M27" i="3" s="1"/>
  <c r="AU79" i="2"/>
  <c r="AU78" i="2"/>
  <c r="AU80" i="2" s="1"/>
  <c r="N28" i="3" s="1"/>
  <c r="AU74" i="2"/>
  <c r="AU73" i="2"/>
  <c r="AU75" i="2" s="1"/>
  <c r="N27" i="3" s="1"/>
  <c r="AU69" i="2"/>
  <c r="AT69" i="2"/>
  <c r="AR79" i="2"/>
  <c r="AR78" i="2"/>
  <c r="AR80" i="2" s="1"/>
  <c r="K28" i="3" s="1"/>
  <c r="L28" i="3" s="1"/>
  <c r="AR69" i="2"/>
  <c r="K70" i="2"/>
  <c r="J70" i="2"/>
  <c r="AU56" i="2"/>
  <c r="AU55" i="2"/>
  <c r="AU54" i="2"/>
  <c r="R28" i="3" l="1"/>
  <c r="O27" i="3"/>
  <c r="AT80" i="2"/>
  <c r="M28" i="3" s="1"/>
  <c r="O28" i="3" s="1"/>
  <c r="BA95" i="2"/>
  <c r="S35" i="3" s="1"/>
  <c r="BA99" i="2"/>
  <c r="P70" i="2"/>
  <c r="N70" i="2"/>
  <c r="V70" i="2"/>
  <c r="AT70" i="2"/>
  <c r="M26" i="3" s="1"/>
  <c r="T70" i="2"/>
  <c r="AR70" i="2"/>
  <c r="K26" i="3" s="1"/>
  <c r="AY70" i="2"/>
  <c r="Q26" i="3" s="1"/>
  <c r="Q70" i="2"/>
  <c r="S70" i="2"/>
  <c r="AQ70" i="2"/>
  <c r="J26" i="3" s="1"/>
  <c r="L26" i="3" s="1"/>
  <c r="AX70" i="2"/>
  <c r="P26" i="3" s="1"/>
  <c r="J75" i="2"/>
  <c r="W70" i="2"/>
  <c r="AU70" i="2"/>
  <c r="N26" i="3" s="1"/>
  <c r="M70" i="2"/>
  <c r="AS54" i="2"/>
  <c r="AZ90" i="2"/>
  <c r="AZ89" i="2"/>
  <c r="AW65" i="2"/>
  <c r="AW54" i="2"/>
  <c r="AW64" i="2"/>
  <c r="AW56" i="2"/>
  <c r="AW61" i="2"/>
  <c r="AW62" i="2"/>
  <c r="AS73" i="2"/>
  <c r="AS79" i="2"/>
  <c r="L63" i="2"/>
  <c r="AS69" i="2"/>
  <c r="AW73" i="2"/>
  <c r="AW79" i="2"/>
  <c r="AZ74" i="2"/>
  <c r="AZ78" i="2"/>
  <c r="AW89" i="2"/>
  <c r="AS55" i="2"/>
  <c r="AS65" i="2"/>
  <c r="AZ69" i="2"/>
  <c r="AZ73" i="2"/>
  <c r="AZ75" i="2" s="1"/>
  <c r="AZ79" i="2"/>
  <c r="AZ80" i="2" s="1"/>
  <c r="AS90" i="2"/>
  <c r="AY57" i="2"/>
  <c r="AW60" i="2"/>
  <c r="AW63" i="2"/>
  <c r="AW74" i="2"/>
  <c r="AS60" i="2"/>
  <c r="AS61" i="2"/>
  <c r="AW69" i="2"/>
  <c r="AW78" i="2"/>
  <c r="AW80" i="2" s="1"/>
  <c r="AS89" i="2"/>
  <c r="AW55" i="2"/>
  <c r="AS63" i="2"/>
  <c r="AX63" i="2" s="1"/>
  <c r="AZ63" i="2" s="1"/>
  <c r="AW90" i="2"/>
  <c r="R79" i="2"/>
  <c r="L60" i="2"/>
  <c r="L89" i="2"/>
  <c r="L73" i="2"/>
  <c r="L64" i="2"/>
  <c r="U62" i="2"/>
  <c r="U64" i="2"/>
  <c r="U78" i="2"/>
  <c r="L69" i="2"/>
  <c r="O89" i="2"/>
  <c r="X61" i="2"/>
  <c r="X65" i="2"/>
  <c r="U69" i="2"/>
  <c r="X73" i="2"/>
  <c r="R56" i="2"/>
  <c r="O60" i="2"/>
  <c r="O64" i="2"/>
  <c r="O62" i="2"/>
  <c r="R63" i="2"/>
  <c r="O73" i="2"/>
  <c r="R78" i="2"/>
  <c r="R80" i="2" s="1"/>
  <c r="X79" i="2"/>
  <c r="O56" i="2"/>
  <c r="R90" i="2"/>
  <c r="X89" i="2"/>
  <c r="X90" i="2"/>
  <c r="M57" i="2"/>
  <c r="U79" i="2"/>
  <c r="AU91" i="2"/>
  <c r="AS56" i="2"/>
  <c r="R60" i="2"/>
  <c r="U63" i="2"/>
  <c r="X62" i="2"/>
  <c r="X64" i="2"/>
  <c r="AU66" i="2"/>
  <c r="N25" i="3" s="1"/>
  <c r="AO75" i="2"/>
  <c r="H27" i="3" s="1"/>
  <c r="L79" i="2"/>
  <c r="O74" i="2"/>
  <c r="X69" i="2"/>
  <c r="AS74" i="2"/>
  <c r="U89" i="2"/>
  <c r="U90" i="2"/>
  <c r="R54" i="2"/>
  <c r="U54" i="2"/>
  <c r="X60" i="2"/>
  <c r="AS64" i="2"/>
  <c r="U73" i="2"/>
  <c r="O55" i="2"/>
  <c r="R55" i="2"/>
  <c r="X56" i="2"/>
  <c r="X63" i="2"/>
  <c r="AS62" i="2"/>
  <c r="AS78" i="2"/>
  <c r="R89" i="2"/>
  <c r="P57" i="2"/>
  <c r="X55" i="2"/>
  <c r="L61" i="2"/>
  <c r="L65" i="2"/>
  <c r="R64" i="2"/>
  <c r="R62" i="2"/>
  <c r="L78" i="2"/>
  <c r="L80" i="2" s="1"/>
  <c r="U74" i="2"/>
  <c r="X74" i="2"/>
  <c r="L90" i="2"/>
  <c r="U55" i="2"/>
  <c r="O63" i="2"/>
  <c r="R61" i="2"/>
  <c r="R65" i="2"/>
  <c r="U61" i="2"/>
  <c r="U65" i="2"/>
  <c r="L74" i="2"/>
  <c r="O69" i="2"/>
  <c r="K91" i="2"/>
  <c r="X78" i="2"/>
  <c r="X80" i="2" s="1"/>
  <c r="L62" i="2"/>
  <c r="O79" i="2"/>
  <c r="U56" i="2"/>
  <c r="K66" i="2"/>
  <c r="U60" i="2"/>
  <c r="O78" i="2"/>
  <c r="O80" i="2" s="1"/>
  <c r="O90" i="2"/>
  <c r="O61" i="2"/>
  <c r="O65" i="2"/>
  <c r="N57" i="2"/>
  <c r="O54" i="2"/>
  <c r="J91" i="2"/>
  <c r="J57" i="2"/>
  <c r="X54" i="2"/>
  <c r="AQ91" i="2"/>
  <c r="AR91" i="2"/>
  <c r="AY91" i="2"/>
  <c r="AX91" i="2"/>
  <c r="AT91" i="2"/>
  <c r="V91" i="2"/>
  <c r="W91" i="2"/>
  <c r="S91" i="2"/>
  <c r="T91" i="2"/>
  <c r="P91" i="2"/>
  <c r="Q91" i="2"/>
  <c r="N91" i="2"/>
  <c r="M91" i="2"/>
  <c r="R73" i="2"/>
  <c r="R69" i="2"/>
  <c r="AR66" i="2"/>
  <c r="K25" i="3" s="1"/>
  <c r="AQ66" i="2"/>
  <c r="J25" i="3" s="1"/>
  <c r="AX66" i="2"/>
  <c r="P25" i="3" s="1"/>
  <c r="AY66" i="2"/>
  <c r="Q25" i="3" s="1"/>
  <c r="AT66" i="2"/>
  <c r="M25" i="3" s="1"/>
  <c r="V66" i="2"/>
  <c r="W66" i="2"/>
  <c r="T66" i="2"/>
  <c r="S66" i="2"/>
  <c r="P66" i="2"/>
  <c r="Q66" i="2"/>
  <c r="N66" i="2"/>
  <c r="M66" i="2"/>
  <c r="AR57" i="2"/>
  <c r="K24" i="3" s="1"/>
  <c r="AQ57" i="2"/>
  <c r="J24" i="3" s="1"/>
  <c r="AX57" i="2"/>
  <c r="Q24" i="3" s="1"/>
  <c r="AU57" i="2"/>
  <c r="N24" i="3" s="1"/>
  <c r="AT57" i="2"/>
  <c r="M24" i="3" s="1"/>
  <c r="W57" i="2"/>
  <c r="V57" i="2"/>
  <c r="S57" i="2"/>
  <c r="T57" i="2"/>
  <c r="Q57" i="2"/>
  <c r="K57" i="2"/>
  <c r="M34" i="3" l="1"/>
  <c r="AT100" i="2"/>
  <c r="M36" i="3" s="1"/>
  <c r="Q34" i="3"/>
  <c r="AY100" i="2"/>
  <c r="Q36" i="3" s="1"/>
  <c r="J34" i="3"/>
  <c r="AQ100" i="2"/>
  <c r="J36" i="3" s="1"/>
  <c r="U75" i="2"/>
  <c r="N34" i="3"/>
  <c r="AU100" i="2"/>
  <c r="N36" i="3" s="1"/>
  <c r="AS80" i="2"/>
  <c r="P34" i="3"/>
  <c r="AX100" i="2"/>
  <c r="P36" i="3" s="1"/>
  <c r="R36" i="3" s="1"/>
  <c r="AR100" i="2"/>
  <c r="K36" i="3" s="1"/>
  <c r="K34" i="3"/>
  <c r="O75" i="2"/>
  <c r="U80" i="2"/>
  <c r="L75" i="2"/>
  <c r="AW75" i="2"/>
  <c r="AS75" i="2"/>
  <c r="X75" i="2"/>
  <c r="U70" i="2"/>
  <c r="L70" i="2"/>
  <c r="AS70" i="2"/>
  <c r="O70" i="2"/>
  <c r="AW70" i="2"/>
  <c r="AO70" i="2"/>
  <c r="H26" i="3" s="1"/>
  <c r="AN70" i="2"/>
  <c r="G26" i="3" s="1"/>
  <c r="AZ70" i="2"/>
  <c r="AP79" i="2"/>
  <c r="BA79" i="2" s="1"/>
  <c r="X70" i="2"/>
  <c r="R70" i="2"/>
  <c r="AW91" i="2"/>
  <c r="AW100" i="2" s="1"/>
  <c r="AZ57" i="2"/>
  <c r="AW57" i="2"/>
  <c r="P24" i="3" s="1"/>
  <c r="R24" i="3"/>
  <c r="AS57" i="2"/>
  <c r="AP73" i="2"/>
  <c r="AP89" i="2"/>
  <c r="BA89" i="2" s="1"/>
  <c r="AP54" i="2"/>
  <c r="BA54" i="2" s="1"/>
  <c r="X66" i="2"/>
  <c r="AP55" i="2"/>
  <c r="BA55" i="2" s="1"/>
  <c r="O57" i="2"/>
  <c r="R91" i="2"/>
  <c r="AP78" i="2"/>
  <c r="R66" i="2"/>
  <c r="L66" i="2"/>
  <c r="L91" i="2"/>
  <c r="O91" i="2"/>
  <c r="U57" i="2"/>
  <c r="BA65" i="2"/>
  <c r="BA62" i="2"/>
  <c r="BA63" i="2"/>
  <c r="U91" i="2"/>
  <c r="BA61" i="2"/>
  <c r="U66" i="2"/>
  <c r="AO57" i="2"/>
  <c r="H24" i="3" s="1"/>
  <c r="H29" i="3" s="1"/>
  <c r="L48" i="3" s="1"/>
  <c r="AO66" i="2"/>
  <c r="H25" i="3" s="1"/>
  <c r="O66" i="2"/>
  <c r="AP69" i="2"/>
  <c r="R57" i="2"/>
  <c r="X57" i="2"/>
  <c r="AN66" i="2"/>
  <c r="G25" i="3" s="1"/>
  <c r="AO91" i="2"/>
  <c r="AP56" i="2"/>
  <c r="AN91" i="2"/>
  <c r="AP90" i="2"/>
  <c r="L57" i="2"/>
  <c r="AN57" i="2"/>
  <c r="G24" i="3" s="1"/>
  <c r="AS91" i="2"/>
  <c r="AS100" i="2" s="1"/>
  <c r="AZ91" i="2"/>
  <c r="AZ100" i="2" s="1"/>
  <c r="X91" i="2"/>
  <c r="R25" i="3"/>
  <c r="AZ66" i="2"/>
  <c r="G34" i="3" l="1"/>
  <c r="AN100" i="2"/>
  <c r="G36" i="3" s="1"/>
  <c r="H34" i="3"/>
  <c r="AO100" i="2"/>
  <c r="H36" i="3" s="1"/>
  <c r="P37" i="3"/>
  <c r="E11" i="18" s="1"/>
  <c r="R34" i="3"/>
  <c r="R37" i="3" s="1"/>
  <c r="Q37" i="3"/>
  <c r="E12" i="18" s="1"/>
  <c r="BA78" i="2"/>
  <c r="BA80" i="2" s="1"/>
  <c r="S28" i="3" s="1"/>
  <c r="AP80" i="2"/>
  <c r="BA73" i="2"/>
  <c r="AP70" i="2"/>
  <c r="BA69" i="2"/>
  <c r="BA64" i="2"/>
  <c r="I25" i="3"/>
  <c r="BA60" i="2"/>
  <c r="AP66" i="2"/>
  <c r="BA56" i="2"/>
  <c r="AP57" i="2"/>
  <c r="BA90" i="2"/>
  <c r="AP91" i="2"/>
  <c r="AP100" i="2" s="1"/>
  <c r="BA70" i="2" l="1"/>
  <c r="S26" i="3" s="1"/>
  <c r="AN75" i="2"/>
  <c r="G27" i="3" s="1"/>
  <c r="R74" i="2"/>
  <c r="R75" i="2" s="1"/>
  <c r="I27" i="3" l="1"/>
  <c r="T27" i="3" s="1"/>
  <c r="G29" i="3"/>
  <c r="K48" i="3" s="1"/>
  <c r="AP74" i="2"/>
  <c r="AP75" i="2" s="1"/>
  <c r="AR44" i="2"/>
  <c r="AR45" i="2" s="1"/>
  <c r="AY44" i="2"/>
  <c r="AX44" i="2"/>
  <c r="AX45" i="2" s="1"/>
  <c r="P18" i="3" s="1"/>
  <c r="AU44" i="2"/>
  <c r="AU40" i="2"/>
  <c r="AW40" i="2" s="1"/>
  <c r="AU38" i="2"/>
  <c r="AU37" i="2"/>
  <c r="AU36" i="2"/>
  <c r="AT38" i="2"/>
  <c r="AT37" i="2"/>
  <c r="AT36" i="2"/>
  <c r="AT41" i="2" s="1"/>
  <c r="AU39" i="2"/>
  <c r="AW39" i="2" s="1"/>
  <c r="AY40" i="2"/>
  <c r="AY39" i="2"/>
  <c r="AX40" i="2"/>
  <c r="AX39" i="2"/>
  <c r="AY38" i="2"/>
  <c r="AY37" i="2"/>
  <c r="AX37" i="2"/>
  <c r="AX41" i="2" s="1"/>
  <c r="AY36" i="2"/>
  <c r="AR40" i="2"/>
  <c r="AQ40" i="2"/>
  <c r="AR39" i="2"/>
  <c r="AQ39" i="2"/>
  <c r="AR38" i="2"/>
  <c r="AR37" i="2"/>
  <c r="AQ37" i="2"/>
  <c r="AQ41" i="2" s="1"/>
  <c r="AR36" i="2"/>
  <c r="AU26" i="2"/>
  <c r="AU25" i="2"/>
  <c r="AU24" i="2"/>
  <c r="AU23" i="2"/>
  <c r="AT26" i="2"/>
  <c r="AW26" i="2" s="1"/>
  <c r="AW25" i="2"/>
  <c r="AY25" i="2"/>
  <c r="AY24" i="2"/>
  <c r="AY23" i="2"/>
  <c r="AR25" i="2"/>
  <c r="AR24" i="2"/>
  <c r="AR23" i="2"/>
  <c r="AV20" i="2"/>
  <c r="AY19" i="2"/>
  <c r="AX19" i="2"/>
  <c r="AY18" i="2"/>
  <c r="AY16" i="2"/>
  <c r="AU19" i="2"/>
  <c r="AU18" i="2"/>
  <c r="AW18" i="2" s="1"/>
  <c r="AU17" i="2"/>
  <c r="AU16" i="2"/>
  <c r="AU12" i="2"/>
  <c r="AU10" i="2"/>
  <c r="AY11" i="2"/>
  <c r="AY10" i="2"/>
  <c r="AR11" i="2"/>
  <c r="AS11" i="2" s="1"/>
  <c r="AR10" i="2"/>
  <c r="J17" i="3" l="1"/>
  <c r="AQ46" i="2"/>
  <c r="P17" i="3"/>
  <c r="AX46" i="2"/>
  <c r="M17" i="3"/>
  <c r="AT46" i="2"/>
  <c r="AR41" i="2"/>
  <c r="K17" i="3" s="1"/>
  <c r="AY41" i="2"/>
  <c r="AU41" i="2"/>
  <c r="N18" i="3"/>
  <c r="AU45" i="2"/>
  <c r="AY45" i="2"/>
  <c r="Q18" i="3"/>
  <c r="AW11" i="2"/>
  <c r="BA74" i="2"/>
  <c r="BA75" i="2" s="1"/>
  <c r="S27" i="3" s="1"/>
  <c r="U18" i="2"/>
  <c r="X19" i="2"/>
  <c r="R26" i="2"/>
  <c r="AW12" i="2"/>
  <c r="O17" i="2"/>
  <c r="U19" i="2"/>
  <c r="AS25" i="2"/>
  <c r="AS36" i="2"/>
  <c r="AW36" i="2"/>
  <c r="AW41" i="2" s="1"/>
  <c r="AZ44" i="2"/>
  <c r="AZ45" i="2" s="1"/>
  <c r="AZ19" i="2"/>
  <c r="AZ36" i="2"/>
  <c r="AW24" i="2"/>
  <c r="AZ39" i="2"/>
  <c r="AZ23" i="2"/>
  <c r="AS23" i="2"/>
  <c r="AZ10" i="2"/>
  <c r="AY20" i="2"/>
  <c r="Q10" i="3" s="1"/>
  <c r="AZ18" i="2"/>
  <c r="AS26" i="2"/>
  <c r="AZ25" i="2"/>
  <c r="AZ37" i="2"/>
  <c r="AW17" i="2"/>
  <c r="L17" i="2"/>
  <c r="R18" i="2"/>
  <c r="U17" i="2"/>
  <c r="AZ17" i="2"/>
  <c r="AW44" i="2"/>
  <c r="AW45" i="2" s="1"/>
  <c r="AW19" i="2"/>
  <c r="AS44" i="2"/>
  <c r="AS45" i="2" s="1"/>
  <c r="AS37" i="2"/>
  <c r="AR20" i="2"/>
  <c r="K10" i="3" s="1"/>
  <c r="AX20" i="2"/>
  <c r="AS24" i="2"/>
  <c r="AS38" i="2"/>
  <c r="AT20" i="2"/>
  <c r="M10" i="3" s="1"/>
  <c r="AQ20" i="2"/>
  <c r="J10" i="3" s="1"/>
  <c r="AW23" i="2"/>
  <c r="AW38" i="2"/>
  <c r="U23" i="2"/>
  <c r="O18" i="2"/>
  <c r="O23" i="2"/>
  <c r="AU20" i="2"/>
  <c r="N10" i="3" s="1"/>
  <c r="AZ40" i="2"/>
  <c r="AZ26" i="2"/>
  <c r="O12" i="2"/>
  <c r="U10" i="2"/>
  <c r="L37" i="2"/>
  <c r="U36" i="2"/>
  <c r="U39" i="2"/>
  <c r="X39" i="2"/>
  <c r="AS39" i="2"/>
  <c r="X23" i="2"/>
  <c r="R10" i="2"/>
  <c r="AS12" i="2"/>
  <c r="AW16" i="2"/>
  <c r="AZ16" i="2"/>
  <c r="U24" i="2"/>
  <c r="L36" i="2"/>
  <c r="O38" i="2"/>
  <c r="R37" i="2"/>
  <c r="X40" i="2"/>
  <c r="AZ38" i="2"/>
  <c r="X10" i="2"/>
  <c r="L16" i="2"/>
  <c r="R16" i="2"/>
  <c r="R23" i="2"/>
  <c r="R36" i="2"/>
  <c r="X38" i="2"/>
  <c r="O37" i="2"/>
  <c r="R38" i="2"/>
  <c r="R40" i="2"/>
  <c r="R12" i="2"/>
  <c r="U16" i="2"/>
  <c r="S20" i="2"/>
  <c r="N20" i="2"/>
  <c r="U26" i="2"/>
  <c r="O16" i="2"/>
  <c r="W20" i="2"/>
  <c r="L23" i="2"/>
  <c r="R39" i="2"/>
  <c r="U37" i="2"/>
  <c r="X37" i="2"/>
  <c r="X44" i="2"/>
  <c r="X45" i="2" s="1"/>
  <c r="R11" i="2"/>
  <c r="X36" i="2"/>
  <c r="Q20" i="2"/>
  <c r="R17" i="2"/>
  <c r="X17" i="2"/>
  <c r="O24" i="2"/>
  <c r="X25" i="2"/>
  <c r="O39" i="2"/>
  <c r="U38" i="2"/>
  <c r="U40" i="2"/>
  <c r="L19" i="2"/>
  <c r="O36" i="2"/>
  <c r="O41" i="2" s="1"/>
  <c r="X16" i="2"/>
  <c r="U25" i="2"/>
  <c r="O40" i="2"/>
  <c r="X11" i="2"/>
  <c r="O25" i="2"/>
  <c r="X26" i="2"/>
  <c r="L38" i="2"/>
  <c r="K20" i="2"/>
  <c r="L18" i="2"/>
  <c r="T20" i="2"/>
  <c r="X12" i="2"/>
  <c r="X18" i="2"/>
  <c r="V20" i="2"/>
  <c r="O26" i="2"/>
  <c r="L40" i="2"/>
  <c r="AW37" i="2"/>
  <c r="AS40" i="2"/>
  <c r="L39" i="2"/>
  <c r="AY27" i="2"/>
  <c r="Q11" i="3" s="1"/>
  <c r="AX27" i="2"/>
  <c r="P11" i="3" s="1"/>
  <c r="AZ24" i="2"/>
  <c r="AQ27" i="2"/>
  <c r="J11" i="3" s="1"/>
  <c r="AR27" i="2"/>
  <c r="K11" i="3" s="1"/>
  <c r="V27" i="2"/>
  <c r="X24" i="2"/>
  <c r="W27" i="2"/>
  <c r="T27" i="2"/>
  <c r="S27" i="2"/>
  <c r="R25" i="2"/>
  <c r="Q27" i="2"/>
  <c r="R24" i="2"/>
  <c r="M27" i="2"/>
  <c r="N27" i="2"/>
  <c r="L26" i="2"/>
  <c r="L25" i="2"/>
  <c r="K27" i="2"/>
  <c r="L24" i="2"/>
  <c r="J27" i="2"/>
  <c r="AZ12" i="2"/>
  <c r="BA12" i="2" s="1"/>
  <c r="AZ11" i="2"/>
  <c r="U12" i="2"/>
  <c r="U11" i="2"/>
  <c r="P10" i="3" l="1"/>
  <c r="R10" i="3" s="1"/>
  <c r="R41" i="2"/>
  <c r="AW46" i="2"/>
  <c r="AU46" i="2"/>
  <c r="N17" i="3"/>
  <c r="AY46" i="2"/>
  <c r="Q17" i="3"/>
  <c r="AR46" i="2"/>
  <c r="K18" i="3" s="1"/>
  <c r="R17" i="3"/>
  <c r="X41" i="2"/>
  <c r="X46" i="2" s="1"/>
  <c r="L41" i="2"/>
  <c r="U41" i="2"/>
  <c r="U46" i="2" s="1"/>
  <c r="AS41" i="2"/>
  <c r="AS46" i="2" s="1"/>
  <c r="AZ41" i="2"/>
  <c r="AZ46" i="2" s="1"/>
  <c r="O10" i="3"/>
  <c r="L10" i="3"/>
  <c r="AP36" i="2"/>
  <c r="AP39" i="2"/>
  <c r="BA39" i="2" s="1"/>
  <c r="AP23" i="2"/>
  <c r="AW20" i="2"/>
  <c r="AP25" i="2"/>
  <c r="BA25" i="2" s="1"/>
  <c r="U20" i="2"/>
  <c r="AP40" i="2"/>
  <c r="BA40" i="2" s="1"/>
  <c r="AP24" i="2"/>
  <c r="BA24" i="2" s="1"/>
  <c r="AP44" i="2"/>
  <c r="AZ20" i="2"/>
  <c r="AP17" i="2"/>
  <c r="AP26" i="2"/>
  <c r="BA26" i="2" s="1"/>
  <c r="U27" i="2"/>
  <c r="AP37" i="2"/>
  <c r="BA37" i="2" s="1"/>
  <c r="AO27" i="2"/>
  <c r="H11" i="3" s="1"/>
  <c r="AP38" i="2"/>
  <c r="BA38" i="2" s="1"/>
  <c r="L20" i="2"/>
  <c r="AP16" i="2"/>
  <c r="AP18" i="2"/>
  <c r="X20" i="2"/>
  <c r="AZ27" i="2"/>
  <c r="AS27" i="2"/>
  <c r="X27" i="2"/>
  <c r="O27" i="2"/>
  <c r="L27" i="2"/>
  <c r="BA36" i="2" l="1"/>
  <c r="AP41" i="2"/>
  <c r="BA44" i="2"/>
  <c r="BA45" i="2" s="1"/>
  <c r="AP45" i="2"/>
  <c r="AP46" i="2" s="1"/>
  <c r="L11" i="3"/>
  <c r="R11" i="3"/>
  <c r="P13" i="2"/>
  <c r="Q13" i="2"/>
  <c r="Q28" i="2" s="1"/>
  <c r="R13" i="2"/>
  <c r="S13" i="2"/>
  <c r="S28" i="2" s="1"/>
  <c r="T13" i="2"/>
  <c r="T28" i="2" s="1"/>
  <c r="U13" i="2"/>
  <c r="U28" i="2" s="1"/>
  <c r="V13" i="2"/>
  <c r="V28" i="2" s="1"/>
  <c r="W13" i="2"/>
  <c r="W28" i="2" s="1"/>
  <c r="X13" i="2"/>
  <c r="X28" i="2" s="1"/>
  <c r="AQ13" i="2"/>
  <c r="J9" i="3" s="1"/>
  <c r="AR13" i="2"/>
  <c r="K9" i="3" s="1"/>
  <c r="AX13" i="2"/>
  <c r="P9" i="3" s="1"/>
  <c r="AY13" i="2"/>
  <c r="Q9" i="3" s="1"/>
  <c r="AZ13" i="2"/>
  <c r="AZ28" i="2" s="1"/>
  <c r="S18" i="3" l="1"/>
  <c r="AX28" i="2"/>
  <c r="Q12" i="3"/>
  <c r="E6" i="18" s="1"/>
  <c r="AY28" i="2"/>
  <c r="AR28" i="2"/>
  <c r="AQ28" i="2"/>
  <c r="R9" i="3" l="1"/>
  <c r="R12" i="3" s="1"/>
  <c r="P12" i="3"/>
  <c r="E5" i="18" s="1"/>
  <c r="L9" i="3"/>
  <c r="P81" i="2" l="1"/>
  <c r="Q81" i="2"/>
  <c r="R81" i="2"/>
  <c r="S81" i="2"/>
  <c r="T81" i="2"/>
  <c r="U81" i="2"/>
  <c r="V81" i="2"/>
  <c r="W81" i="2"/>
  <c r="X81" i="2"/>
  <c r="AP81" i="2"/>
  <c r="AQ81" i="2"/>
  <c r="AR81" i="2"/>
  <c r="AU81" i="2"/>
  <c r="AZ81" i="2"/>
  <c r="P99" i="2"/>
  <c r="P100" i="2" s="1"/>
  <c r="Q99" i="2"/>
  <c r="Q100" i="2" s="1"/>
  <c r="R99" i="2"/>
  <c r="R100" i="2" s="1"/>
  <c r="S99" i="2"/>
  <c r="S100" i="2" s="1"/>
  <c r="T99" i="2"/>
  <c r="T100" i="2" s="1"/>
  <c r="U99" i="2"/>
  <c r="U100" i="2" s="1"/>
  <c r="V99" i="2"/>
  <c r="V100" i="2" s="1"/>
  <c r="W99" i="2"/>
  <c r="W100" i="2" s="1"/>
  <c r="X99" i="2"/>
  <c r="X100" i="2" s="1"/>
  <c r="AO81" i="2" l="1"/>
  <c r="AX81" i="2"/>
  <c r="AN81" i="2"/>
  <c r="AY81" i="2"/>
  <c r="W101" i="2"/>
  <c r="S46" i="2"/>
  <c r="S101" i="2" s="1"/>
  <c r="X101" i="2"/>
  <c r="T101" i="2"/>
  <c r="P46" i="2"/>
  <c r="P19" i="3"/>
  <c r="E7" i="18" s="1"/>
  <c r="V101" i="2"/>
  <c r="R46" i="2"/>
  <c r="Q19" i="3"/>
  <c r="E8" i="18" s="1"/>
  <c r="AR101" i="2"/>
  <c r="AZ101" i="2"/>
  <c r="U101" i="2"/>
  <c r="Q46" i="2"/>
  <c r="Q101" i="2" s="1"/>
  <c r="L18" i="3"/>
  <c r="R18" i="3"/>
  <c r="I26" i="3"/>
  <c r="T26" i="3" s="1"/>
  <c r="AY101" i="2" l="1"/>
  <c r="AX101" i="2"/>
  <c r="P29" i="3"/>
  <c r="Q29" i="3"/>
  <c r="R26" i="3"/>
  <c r="R29" i="3" s="1"/>
  <c r="R38" i="3" s="1"/>
  <c r="R19" i="3"/>
  <c r="AS10" i="2"/>
  <c r="AW10" i="2"/>
  <c r="AS16" i="2"/>
  <c r="AS17" i="2"/>
  <c r="BA17" i="2" s="1"/>
  <c r="AS18" i="2"/>
  <c r="BA18" i="2" s="1"/>
  <c r="AS19" i="2"/>
  <c r="AS66" i="2"/>
  <c r="AW66" i="2"/>
  <c r="BA10" i="2" l="1"/>
  <c r="E10" i="18"/>
  <c r="Q38" i="3"/>
  <c r="E9" i="18"/>
  <c r="P38" i="3"/>
  <c r="L17" i="3"/>
  <c r="AQ101" i="2"/>
  <c r="O34" i="3"/>
  <c r="E13" i="18"/>
  <c r="E14" i="18" s="1"/>
  <c r="BA16" i="2"/>
  <c r="L34" i="3"/>
  <c r="K37" i="3"/>
  <c r="N37" i="3"/>
  <c r="O35" i="3"/>
  <c r="AT13" i="2"/>
  <c r="M9" i="3" s="1"/>
  <c r="AS13" i="2"/>
  <c r="AU13" i="2"/>
  <c r="N9" i="3" s="1"/>
  <c r="O18" i="3"/>
  <c r="K81" i="2"/>
  <c r="N81" i="2"/>
  <c r="AW81" i="2"/>
  <c r="N99" i="2"/>
  <c r="N100" i="2" s="1"/>
  <c r="K99" i="2"/>
  <c r="K100" i="2" s="1"/>
  <c r="J99" i="2"/>
  <c r="J100" i="2" s="1"/>
  <c r="M99" i="2"/>
  <c r="M100" i="2" s="1"/>
  <c r="M81" i="2"/>
  <c r="AT27" i="2"/>
  <c r="M11" i="3" s="1"/>
  <c r="N19" i="3"/>
  <c r="L35" i="3"/>
  <c r="L25" i="3"/>
  <c r="K19" i="3"/>
  <c r="K12" i="3"/>
  <c r="K29" i="3" l="1"/>
  <c r="K38" i="3" s="1"/>
  <c r="N29" i="3"/>
  <c r="AS81" i="2"/>
  <c r="O26" i="3"/>
  <c r="AT81" i="2"/>
  <c r="N46" i="2"/>
  <c r="O17" i="3"/>
  <c r="AT28" i="2"/>
  <c r="D8" i="18"/>
  <c r="O25" i="3"/>
  <c r="O9" i="3"/>
  <c r="O36" i="3"/>
  <c r="O37" i="3" s="1"/>
  <c r="L36" i="3"/>
  <c r="M37" i="3"/>
  <c r="BA91" i="2"/>
  <c r="AU27" i="2"/>
  <c r="N11" i="3" s="1"/>
  <c r="AW13" i="2"/>
  <c r="L99" i="2"/>
  <c r="L100" i="2" s="1"/>
  <c r="J41" i="2"/>
  <c r="L81" i="2"/>
  <c r="O99" i="2"/>
  <c r="O100" i="2" s="1"/>
  <c r="I36" i="3"/>
  <c r="T36" i="3" s="1"/>
  <c r="BA23" i="2"/>
  <c r="I35" i="3"/>
  <c r="T35" i="3" s="1"/>
  <c r="O81" i="2"/>
  <c r="O24" i="3"/>
  <c r="J19" i="3"/>
  <c r="T25" i="3"/>
  <c r="BA57" i="2"/>
  <c r="D12" i="18"/>
  <c r="J12" i="3"/>
  <c r="S34" i="3" l="1"/>
  <c r="BA100" i="2"/>
  <c r="S36" i="3" s="1"/>
  <c r="AT101" i="2"/>
  <c r="M29" i="3"/>
  <c r="O29" i="3"/>
  <c r="O46" i="2"/>
  <c r="AS20" i="2"/>
  <c r="AS28" i="2" s="1"/>
  <c r="AS101" i="2" s="1"/>
  <c r="N12" i="3"/>
  <c r="AU28" i="2"/>
  <c r="AU101" i="2" s="1"/>
  <c r="M12" i="3"/>
  <c r="D5" i="18" s="1"/>
  <c r="D10" i="18"/>
  <c r="J37" i="3"/>
  <c r="AV27" i="2"/>
  <c r="AV28" i="2" s="1"/>
  <c r="AV101" i="2" s="1"/>
  <c r="AW27" i="2"/>
  <c r="AW28" i="2" s="1"/>
  <c r="AW101" i="2" s="1"/>
  <c r="L12" i="3"/>
  <c r="J20" i="2"/>
  <c r="M19" i="3"/>
  <c r="D7" i="18" s="1"/>
  <c r="O19" i="3"/>
  <c r="J29" i="3"/>
  <c r="L24" i="3"/>
  <c r="L29" i="3" s="1"/>
  <c r="C10" i="18"/>
  <c r="L37" i="3"/>
  <c r="L19" i="3"/>
  <c r="J66" i="2"/>
  <c r="S24" i="3"/>
  <c r="H37" i="3"/>
  <c r="I18" i="3"/>
  <c r="T18" i="3" s="1"/>
  <c r="M38" i="3" l="1"/>
  <c r="D11" i="18"/>
  <c r="J38" i="3"/>
  <c r="L49" i="3"/>
  <c r="L38" i="3"/>
  <c r="D6" i="18"/>
  <c r="N38" i="3"/>
  <c r="J81" i="2"/>
  <c r="H49" i="3"/>
  <c r="O11" i="3"/>
  <c r="O12" i="3" s="1"/>
  <c r="O38" i="3" s="1"/>
  <c r="D9" i="18"/>
  <c r="BA66" i="2"/>
  <c r="C12" i="18"/>
  <c r="I17" i="3"/>
  <c r="I19" i="3" s="1"/>
  <c r="L47" i="3"/>
  <c r="C8" i="18"/>
  <c r="S25" i="3" l="1"/>
  <c r="D13" i="18"/>
  <c r="D14" i="18" s="1"/>
  <c r="BA41" i="2"/>
  <c r="C9" i="18"/>
  <c r="I24" i="3"/>
  <c r="I29" i="3" s="1"/>
  <c r="T17" i="3"/>
  <c r="S17" i="3" l="1"/>
  <c r="BA46" i="2"/>
  <c r="BA81" i="2"/>
  <c r="H48" i="3"/>
  <c r="T24" i="3"/>
  <c r="T29" i="3" s="1"/>
  <c r="S29" i="3" l="1"/>
  <c r="N13" i="2" l="1"/>
  <c r="N28" i="2" s="1"/>
  <c r="N101" i="2" s="1"/>
  <c r="O11" i="2" l="1"/>
  <c r="BA11" i="2" l="1"/>
  <c r="L11" i="2" l="1"/>
  <c r="L12" i="2"/>
  <c r="AO13" i="2" l="1"/>
  <c r="H9" i="3" s="1"/>
  <c r="L10" i="2"/>
  <c r="L13" i="2" s="1"/>
  <c r="J13" i="2"/>
  <c r="L28" i="2" l="1"/>
  <c r="K28" i="2"/>
  <c r="J28" i="2"/>
  <c r="H12" i="3"/>
  <c r="H38" i="3" s="1"/>
  <c r="AO28" i="2"/>
  <c r="AO101" i="2" s="1"/>
  <c r="C6" i="18" l="1"/>
  <c r="H58" i="3"/>
  <c r="L46" i="3"/>
  <c r="H47" i="3" l="1"/>
  <c r="O13" i="2" l="1"/>
  <c r="M13" i="2"/>
  <c r="P20" i="2" l="1"/>
  <c r="R19" i="2"/>
  <c r="R20" i="2" s="1"/>
  <c r="P27" i="2"/>
  <c r="R27" i="2"/>
  <c r="M20" i="2"/>
  <c r="M28" i="2" s="1"/>
  <c r="O19" i="2"/>
  <c r="O20" i="2" s="1"/>
  <c r="O28" i="2" s="1"/>
  <c r="O101" i="2" s="1"/>
  <c r="AN13" i="2"/>
  <c r="G9" i="3" s="1"/>
  <c r="R28" i="2" l="1"/>
  <c r="R101" i="2" s="1"/>
  <c r="T10" i="3"/>
  <c r="AP19" i="2"/>
  <c r="BA13" i="2"/>
  <c r="S9" i="3" s="1"/>
  <c r="AP13" i="2"/>
  <c r="I9" i="3"/>
  <c r="AN27" i="2"/>
  <c r="G11" i="3" s="1"/>
  <c r="P28" i="2"/>
  <c r="P101" i="2" s="1"/>
  <c r="BA27" i="2" l="1"/>
  <c r="S11" i="3" s="1"/>
  <c r="AP27" i="2"/>
  <c r="I11" i="3"/>
  <c r="T11" i="3" s="1"/>
  <c r="AN28" i="2"/>
  <c r="AN101" i="2" s="1"/>
  <c r="AP20" i="2"/>
  <c r="BA19" i="2"/>
  <c r="BA20" i="2" s="1"/>
  <c r="S10" i="3" s="1"/>
  <c r="G12" i="3"/>
  <c r="T9" i="3"/>
  <c r="T12" i="3" l="1"/>
  <c r="AP28" i="2"/>
  <c r="AP101" i="2" s="1"/>
  <c r="C5" i="18"/>
  <c r="K46" i="3"/>
  <c r="S12" i="3"/>
  <c r="BA28" i="2"/>
  <c r="BA101" i="2" s="1"/>
  <c r="I12" i="3"/>
  <c r="F5" i="18" l="1"/>
  <c r="S19" i="3" l="1"/>
  <c r="S37" i="3"/>
  <c r="G19" i="3"/>
  <c r="G37" i="3"/>
  <c r="I34" i="3"/>
  <c r="K49" i="3" l="1"/>
  <c r="G38" i="3"/>
  <c r="S38" i="3"/>
  <c r="T19" i="3"/>
  <c r="K47" i="3"/>
  <c r="C7" i="18"/>
  <c r="C11" i="18"/>
  <c r="F11" i="18" s="1"/>
  <c r="H57" i="3"/>
  <c r="H50" i="3"/>
  <c r="T34" i="3"/>
  <c r="T37" i="3" s="1"/>
  <c r="I37" i="3"/>
  <c r="I38" i="3" s="1"/>
  <c r="T38" i="3" l="1"/>
  <c r="F7" i="18"/>
  <c r="F13" i="18" s="1"/>
  <c r="F14" i="18" s="1"/>
  <c r="C13" i="18"/>
  <c r="C14" i="18" s="1"/>
  <c r="H59" i="3" l="1"/>
  <c r="H46" i="3"/>
  <c r="M48" i="3" l="1"/>
  <c r="M49" i="3"/>
  <c r="M46" i="3"/>
  <c r="M47" i="3"/>
  <c r="J46" i="2" l="1"/>
  <c r="J101" i="2" s="1"/>
  <c r="M46" i="2"/>
  <c r="M101" i="2"/>
  <c r="K46" i="2"/>
  <c r="K101" i="2" s="1"/>
  <c r="L46" i="2"/>
  <c r="L101" i="2" s="1"/>
</calcChain>
</file>

<file path=xl/sharedStrings.xml><?xml version="1.0" encoding="utf-8"?>
<sst xmlns="http://schemas.openxmlformats.org/spreadsheetml/2006/main" count="780" uniqueCount="330">
  <si>
    <t>Nr.</t>
  </si>
  <si>
    <t xml:space="preserve">Referenca e Rezultatit me produktet e programit buxhetor                       </t>
  </si>
  <si>
    <t xml:space="preserve">Afati i zbatimit </t>
  </si>
  <si>
    <t xml:space="preserve">Institucionet përgjegjëse </t>
  </si>
  <si>
    <t>Kosto Objektivi specifik 2.1</t>
  </si>
  <si>
    <t>Kosto Objektivi specifik 2.2</t>
  </si>
  <si>
    <t>Nuk ka informacion</t>
  </si>
  <si>
    <t>Kosto Objektivi specifik 3.1</t>
  </si>
  <si>
    <t>Kosto Objektivi specifik 3.2</t>
  </si>
  <si>
    <t>Kosto Objektivi specifik 3.3</t>
  </si>
  <si>
    <t>!!!</t>
  </si>
  <si>
    <t>Korente</t>
  </si>
  <si>
    <t>Kapitale</t>
  </si>
  <si>
    <t>Total BSH</t>
  </si>
  <si>
    <t>Total FH</t>
  </si>
  <si>
    <t>Qëllimi i Politikës I:  
Përmirësimi i Cilësisë Saktësisë dhe Konsistencës së të Dhënave të Sektorit të furnizimit me ujë dhe kanalizime</t>
  </si>
  <si>
    <t>Total Kosto</t>
  </si>
  <si>
    <t xml:space="preserve">Kosto Korente </t>
  </si>
  <si>
    <t>Kosto kapitale</t>
  </si>
  <si>
    <t>Total kosto</t>
  </si>
  <si>
    <t>Hendeku financiar
2023-2030
(në Lekë)</t>
  </si>
  <si>
    <t>Burimi i mbulimit deri ne 2022</t>
  </si>
  <si>
    <t>Qëllimi i Politikës I</t>
  </si>
  <si>
    <t>Qëllimi i Politikës II</t>
  </si>
  <si>
    <t>Qëllimi i Politikës III</t>
  </si>
  <si>
    <t>Qëllimi i Politikës IV</t>
  </si>
  <si>
    <t>Kosto Korente</t>
  </si>
  <si>
    <t>Kosto Kapitale</t>
  </si>
  <si>
    <t>Buxheti dhe Donatoret</t>
  </si>
  <si>
    <t>TOTALI [Leke]</t>
  </si>
  <si>
    <t>TOTALI [Euro]</t>
  </si>
  <si>
    <t>1 euro 124 Leke</t>
  </si>
  <si>
    <t>Titulli</t>
  </si>
  <si>
    <t>Programi buxhetor</t>
  </si>
  <si>
    <t xml:space="preserve">Emri i BP/dhe kodi  </t>
  </si>
  <si>
    <t>Institucioni përgjegjës</t>
  </si>
  <si>
    <t>Institucionet kontribuese</t>
  </si>
  <si>
    <t xml:space="preserve">Afati i Zbatimit </t>
  </si>
  <si>
    <t>Afati Fillimit</t>
  </si>
  <si>
    <t xml:space="preserve"> Kosto Total</t>
  </si>
  <si>
    <t>Kostot treguese/2021</t>
  </si>
  <si>
    <t>Kostot treguese/2022</t>
  </si>
  <si>
    <t>Kostot treguese/2023</t>
  </si>
  <si>
    <t>Kostot treguese/2024</t>
  </si>
  <si>
    <t>Kostot treguese/2025</t>
  </si>
  <si>
    <t>Kostot treguese totale</t>
  </si>
  <si>
    <t>Burimi I financimit</t>
  </si>
  <si>
    <t>Totali BSH</t>
  </si>
  <si>
    <t>PBA 2021-2023 (në lekë)</t>
  </si>
  <si>
    <t>Financim i Huaj  (në  lekë)</t>
  </si>
  <si>
    <t xml:space="preserve">Emri donatorit/Titullin e projektit </t>
  </si>
  <si>
    <t>Total Financim i Huaj</t>
  </si>
  <si>
    <t>Burimi i Financimit</t>
  </si>
  <si>
    <t xml:space="preserve">Hendeku financiar </t>
  </si>
  <si>
    <t xml:space="preserve"> Kosto Totale</t>
  </si>
  <si>
    <t>Buxheti 2024-2025 (në lekë)</t>
  </si>
  <si>
    <t>Masat</t>
  </si>
  <si>
    <t>MSHMS</t>
  </si>
  <si>
    <t>MFE</t>
  </si>
  <si>
    <t>MD</t>
  </si>
  <si>
    <t>Objektivat Specifik</t>
  </si>
  <si>
    <t>Kostot treguese</t>
  </si>
  <si>
    <t>10430 Përkujdesja Sociale</t>
  </si>
  <si>
    <t>Kosto treguese Objektivi specifik 1.2</t>
  </si>
  <si>
    <t>Burimi i mbulimit deri ne 2023</t>
  </si>
  <si>
    <t>1.2.1 Kryerja e një analize të legjislacionit shqiptar duke e krahasuar me atë të vendeve të BE-së, lidhur me bërjen të mundur që  personat që nuk dëgjojnë të marrin leje drejtimi automjeti. Diskutim publik me prezantim të shembujve të praktikave të mira në fushën e lëshimit të lejeve për drejtim automjeti për personat që nuk dëgjojnë. Zbatimi i ndërhyrjeve ligjore.</t>
  </si>
  <si>
    <t>1.2.2 Rishikimi i legjislacionit që lidhet me rimbursimin e të gjitha llojeve të transportit dhe mundësinë për financim për të gjitha kategoritë e personave me aftësi të kufizuara.</t>
  </si>
  <si>
    <t xml:space="preserve">1.2.3 Rishikimi i akteve ligjore që lidhen me rimbursimin e karburantit për të gjithë personat me aftësi të kufizuara. Vlerësimi i akteve ekzistuese dhe hartimi i skemës së vlerësimit, që do të përcaktojë rimbursimin e karburantit. </t>
  </si>
  <si>
    <t>1.2.4 Realizimi i aksesueshmërisë në transport për një numër në rritje të autobusëve të kompanive të licencuara për transportin rrugor të udhëtarëve në linjat e rregullta dhe në ato të shërbimeve të rastit /turistike, të kenë platformë/pajisje të përshtatshme për te siguruar aksesueshmërinë për personat me aftësi të kufizuara.</t>
  </si>
  <si>
    <t>1.3.1 Rishikimi i Ligjit “Për mënyrën e ofrimit të shërbimeve publike në sportel në Republikën e Shqipërisë” dhe Vendimi nr. 673 dt. 22.11.2017 i Këshillit të Ministrave për riorganizimin e Agjencisë Kombëtare të Shoqërisë së Informacionit, i ndryshuar,me qëllim përfshirjen në to të elementeve të aksesueshmërisë në informacion e komunikim për personat me aftësi të kufizuara.</t>
  </si>
  <si>
    <t>1.3.2 Adaptimi i standardeve ndërkombëtare të sigurimit të aksesueshmërisë në TIK në portale dhe sportele qeveritare.</t>
  </si>
  <si>
    <t>1.3.3 Rishikimi/parashikimi i strukturave përgjegjëse për zbatimin, monitorimin e inspektimin e zbatimit të kuadrit ligjor dhe politik që siguron aksesueshmërinë në informacion dhe komunikim për personat me aftësi të kufizuara</t>
  </si>
  <si>
    <t>1.3.4  Marrja e masave që pajisjet dhe shërbimet publike të jenë të aksesueshme nga persona që kanë dëmtime të shikimit, probleme me dëgjimin, vështirësi me lëvizjen, si dhe nga persona me aftësi të kufizuara intelektuale duke përdorur a) ikona universale; b)  programe, që mundësojnë leximin për personat me vështirësi në shikim; c) pajisje audio; d) të kenë programe që u mundësojnë përdoruesve me probleme në shikim të zmadhojnë shkrimin dhe madhësinë e ikonave; e) të kenë lexues dhe printera të kodit Braille (në një numër të arsyeshëm).</t>
  </si>
  <si>
    <t>AMA</t>
  </si>
  <si>
    <t>Kosto Objektivi specifik 1.3</t>
  </si>
  <si>
    <t>03310 Ndihma Juridike Falas</t>
  </si>
  <si>
    <t>Buxheti 2024-2026 (në lekë)</t>
  </si>
  <si>
    <t>Institucionet përgjegjegjëse</t>
  </si>
  <si>
    <t>Kosto Indiktive Totale</t>
  </si>
  <si>
    <t>Hendeku financiar
2021-2025
(në Lekë)</t>
  </si>
  <si>
    <t>Institucioni kontribues</t>
  </si>
  <si>
    <t>Afati Mbarimit</t>
  </si>
  <si>
    <t>PBA 2021-2023 ( në Lekë)</t>
  </si>
  <si>
    <t>Financim i Huaj (në lekë)</t>
  </si>
  <si>
    <t>Kosto totale ne EUR
(kursi kembimit: 1 EUR = 124ALL)</t>
  </si>
  <si>
    <t>PBA 2021-2023</t>
  </si>
  <si>
    <t>Hendeku Financiar</t>
  </si>
  <si>
    <t>Natyra/ Tipologjia e Kostove</t>
  </si>
  <si>
    <t>Qëllimi i Politikave</t>
  </si>
  <si>
    <t>Kostoja Totale</t>
  </si>
  <si>
    <t xml:space="preserve">Kosto për tu </t>
  </si>
  <si>
    <t>Planifikuar në</t>
  </si>
  <si>
    <t>Kostot e Planifikuara</t>
  </si>
  <si>
    <t>Hendek financiar 2021-2025</t>
  </si>
  <si>
    <t>MTBP 2021-2023</t>
  </si>
  <si>
    <r>
      <t xml:space="preserve">Nevojat  (në </t>
    </r>
    <r>
      <rPr>
        <b/>
        <sz val="11"/>
        <color theme="1"/>
        <rFont val="Arial"/>
        <family val="2"/>
      </rPr>
      <t>Lek)</t>
    </r>
  </si>
  <si>
    <t xml:space="preserve">Financim i Huaj </t>
  </si>
  <si>
    <t>Buxheti 2024-2025</t>
  </si>
  <si>
    <t>Kosto totale te PKV</t>
  </si>
  <si>
    <t>Institucionet përgjegjëse</t>
  </si>
  <si>
    <t>Kosto totale Qëllimi i Politikës I (objektiva specifike 1.1+1.2+1.3)</t>
  </si>
  <si>
    <r>
      <rPr>
        <b/>
        <sz val="12"/>
        <color indexed="10"/>
        <rFont val="Times New Roman"/>
        <family val="1"/>
      </rPr>
      <t xml:space="preserve">Kosto totale Qëllimi i Politikës I </t>
    </r>
    <r>
      <rPr>
        <sz val="12"/>
        <color theme="1"/>
        <rFont val="Times New Roman"/>
        <family val="1"/>
      </rPr>
      <t xml:space="preserve">
(objektiva specifike 1.1+1.2+1.3)</t>
    </r>
  </si>
  <si>
    <r>
      <rPr>
        <b/>
        <sz val="12"/>
        <color indexed="10"/>
        <rFont val="Times New Roman"/>
        <family val="1"/>
      </rPr>
      <t xml:space="preserve">Kosto totale Qëllimi i Politikës V </t>
    </r>
    <r>
      <rPr>
        <sz val="12"/>
        <color theme="1"/>
        <rFont val="Times New Roman"/>
        <family val="1"/>
      </rPr>
      <t xml:space="preserve">
(objektiva specifike 5.1+5.2+5.3)</t>
    </r>
  </si>
  <si>
    <r>
      <t>N</t>
    </r>
    <r>
      <rPr>
        <sz val="11"/>
        <color theme="0"/>
        <rFont val="Calibri"/>
        <family val="2"/>
      </rPr>
      <t>ë</t>
    </r>
    <r>
      <rPr>
        <sz val="5.5"/>
        <color theme="0"/>
        <rFont val="Calibri"/>
        <family val="2"/>
      </rPr>
      <t xml:space="preserve"> %</t>
    </r>
  </si>
  <si>
    <t>IV. Programi buxhetor që kontribuon për qëllimin e politikës: 11/01110 Planifikim Menaxhim Administrim; 09120 Arsimi Baze; 09240 Arsimi Mesem (Profesional)</t>
  </si>
  <si>
    <t>III. Programi buxhetor që kontribuon për qëllimin e politikës: 10550 Tregu i Punes; 04170 Inspektimi i Punes; 10430 Përkujdesja Sociale; 10/01110 Planifikim Menaxhim Administrim</t>
  </si>
  <si>
    <t>STRATEGJIA KOMBËTARE PËR BARAZINË GJINORE 2021 – 2030
 2021-2025</t>
  </si>
  <si>
    <t>Qëllimi strategjik 1. Përmbushja e të drejtave ekonomike dhe sociale për gratë dhe burrat në shoqëri dhe fuqizimi i grave dhe vajzave nga të gjitha grupet (nga zonat rurale, minoritetet etnike, me aftësi të kufizuara, LBTI+, të moshuara, nëna të vetme, etj), duke synuar një rritje dhe qendrueshmëri të ekonomisë mjedisore (së gjelbër), si dhe pjesëmarrjen e tyre të barabartë në dixhitalizim.</t>
  </si>
  <si>
    <t>Kostot treguese/2026</t>
  </si>
  <si>
    <t>Kostot treguese/2027</t>
  </si>
  <si>
    <t>Kostot treguese/2028</t>
  </si>
  <si>
    <t>Kostot treguese/2029</t>
  </si>
  <si>
    <t>Kostot treguese/2030</t>
  </si>
  <si>
    <t>Buxheti 2024-2030 (në lekë)</t>
  </si>
  <si>
    <t>Objektivi Specifik:  Zbatimi i kuadrit ligjor dhe politikave të përmirësuara, që mundësojnë ndarje të barabartë të punës dhe kujdesit të papaguar në familje, ndërmjet grave dhe burrave, vajzave dhe djemve</t>
  </si>
  <si>
    <t>I.1</t>
  </si>
  <si>
    <t>I.1.1</t>
  </si>
  <si>
    <t>10220 Sigurimi Shoqeror</t>
  </si>
  <si>
    <t>SHKP, MSHMS, ISSH, NJVV, OJF, org. ndërkombëtare</t>
  </si>
  <si>
    <t>01/07/2021</t>
  </si>
  <si>
    <t>31/12/2023</t>
  </si>
  <si>
    <t>I.1.2</t>
  </si>
  <si>
    <t>Informimi i punëdhënësve/punëdhënëseve, punëmarrësve/punëmarrëseve dhe shoqërisë në tërësi, mbi format e lejeve të paguara, të lejueshme për secilin prind në legjislacionin shqiptar</t>
  </si>
  <si>
    <t>Përmirësimi i kuadrit ligjor dhe të politikave që mundësojnë ndarje të barabartë të punës dhe kujdesit të papaguar në familje, ndërmjet grave dhe burrave (si: fleksibiliteti i të punuarit nga shtëpia, zgjatja e kohës së lejeve të paguara për të dy prindërit), bazuar në modele të suksesshme ndërkombëtare</t>
  </si>
  <si>
    <t>MD, MSHMS, KMD, Avokati i Popullit, KMD, org. ndërkombëtare</t>
  </si>
  <si>
    <t xml:space="preserve">I.1.3. Monitorimi i zbatimit të kuadrit ligjor dhe të politikave që mundësojnë ndarje të barabartë të punës dhe kujdesit të papaguar në familje, ndërmjet grave dhe burrave, vajzave dhe djemve. </t>
  </si>
  <si>
    <t>I.1.3</t>
  </si>
  <si>
    <t>10220 Sigurimi Shoqeror, 01320 Veprimtaria Statistikore</t>
  </si>
  <si>
    <t>AKPA, SHKP, MSHMS, ISSH, NJVV, org. ndërkombëtare</t>
  </si>
  <si>
    <t>31/12/2025</t>
  </si>
  <si>
    <t>Kosto treguese Objektivi specifik I.1</t>
  </si>
  <si>
    <t>I.2</t>
  </si>
  <si>
    <t>MFE, INSTAT</t>
  </si>
  <si>
    <t>Objektivi Specifik:  Rritja e aksesit të grave dhe vajzave, nga të gjitha grupet (nga zonat rurale, minoritetet etnike, me aftësi të kufizuara, LBTI+, të moshuara, nëna të vetme, vajza mbi 16 vjeç, etj) në shërbimet dhe produktet financiare, si dhe në burimet produktive</t>
  </si>
  <si>
    <t>I.2.1</t>
  </si>
  <si>
    <t>01110 Planifikim Menaxhim Administrim Kodi 14, 09450 Fonde për Arsimin e Larte, 03310 Ndihma Juridike Falas</t>
  </si>
  <si>
    <t>Informimi i grave dhe vajzave nga të gjitha grupet mbi legjislacionin e përmirësuar në lidhje me të drejtat pronësore të grave dhe vajzave, me fokus të drejtën e pronësisë mbi tokën bujqësore, si dhe fuqizimi i kapaciteteve të profesionisteve e profesionistëve për të mundësuar ushtrimin e këtyre të drejtave</t>
  </si>
  <si>
    <t>I.2.2</t>
  </si>
  <si>
    <t xml:space="preserve">MSHMS, MBZHR,
NJVV, OJF, org. ndërkombëtare
</t>
  </si>
  <si>
    <t>I.2.3</t>
  </si>
  <si>
    <t>I.2.4</t>
  </si>
  <si>
    <t xml:space="preserve">Ministri i Shtetit për Mbrojtjen e Sipërmarrjes, MBZHR, Ministria e Infrastrukturës dhe Energjisë
 institucionet financiare qendrore, org. ndërkombëtare
</t>
  </si>
  <si>
    <t>Nxitja dhe mbështetja e sipërmarrjes së grave dhe vajzave nga të gjitha grupet (nga zonat rurale, minoritetet etnike, me aftësi të kufizuara, LBTI+, të moshuara, nëna të vetme, etj), përfshirë dhe idetë inovatore që synojnë drejt ekonomisë mjedisore dhe dixhitalizimit</t>
  </si>
  <si>
    <t>04130 Mbeshtetje per Zhvillimin Ekonomik, 01320 Veprimtaria   Statistikore, 04250 Zhvillimi Rural duke mbështur prodhimin bujqësor, blegtoral, agroindustrinë dhe marketingun, 05320 Mbrojtja e Mjedisit</t>
  </si>
  <si>
    <t>Fuqizimi i kapaciteteve të shërbimeve këshilluese në nivel vendor dhe institucioneve përgjegjëse në nivel qëndror, për ofrimin e shërbimeve të përgjegjshme gjinore për turizmin rural, agro-biznesin dhe zhvillimin e zinxhirit të vlerës.</t>
  </si>
  <si>
    <t>I.2.4. Ndërtimi i kapaciteteve të grupeve të grave rurale për zhvillimin e aftësive të biznesit, qasjen në financim, si dhe veprime specifike të përbashkëta (siç janë blerja, kontrolli i cilësisë, tregtimi, marka, përpunimi dhe ruajtja e ushqimit.)</t>
  </si>
  <si>
    <t>MBZHR</t>
  </si>
  <si>
    <t xml:space="preserve">NJVV,OJF, org. ndërkombëtare </t>
  </si>
  <si>
    <t>NJVV,OJF, org. ndërkombëtare</t>
  </si>
  <si>
    <t>04860 Këshillimi dhe Informacioni Bujqësor</t>
  </si>
  <si>
    <t>04250 Zhvillimi Rural duke mbështur prodhimin bujqësor, blegtoral, agroindustrinë dhe marketingun</t>
  </si>
  <si>
    <t>I.3.1</t>
  </si>
  <si>
    <t>I.3.2</t>
  </si>
  <si>
    <t>I.3.3</t>
  </si>
  <si>
    <t>I.3.4</t>
  </si>
  <si>
    <t>Objektivi Specifik: Zvogëlimi i barrierave që i mbajnë gratë dhe vajzat larg tregut të punës, si dhe rritja e aksesit të grave dhe vajzave nga të gjitha grupet (nga zonat rurale, minoritetet etnike, me aftësi të kufizuara, LBTI+, të moshuara, nëna të vetme, të dhunuara, etj), për punë të denjë edhe në sektorët jo-tradicionalë të punësimit, (në veçanti në shkencë, teknologji, inxhinieri, matematikë),</t>
  </si>
  <si>
    <t>SHKP, AKAFP,NJVV, MASR, DRAP/ZVA, biznesi, OJF, org. ndërkombëtare</t>
  </si>
  <si>
    <t>10550 Tregu i Punes, 09240 Arsimi i Mesem (Profesional)</t>
  </si>
  <si>
    <t>31/12/2022</t>
  </si>
  <si>
    <t>Krijimi i mjedisit lehtësues dhe nxitës për përfshirjen e grave dhe vajzave, nga të gjitha grupet, në punë të denjë edhe në sektorët jo-tradicionalë</t>
  </si>
  <si>
    <t>Zbatimi i Konventës C190 të ONP mbi “Dhunën dhe ngacmimin seksual në botën e punës”, pas ratifikimit të saj, si dhe i direktivave përkatëse të BE për barazinë dhe mosdiskriminimin në botën e punës</t>
  </si>
  <si>
    <t>10550 Tregu i Punes, 09820 Veprimtari  Arsimore, 01110 Planifikim Menaxhim Administrim</t>
  </si>
  <si>
    <t>MSHMS, OJF, org. ndërkombëtare</t>
  </si>
  <si>
    <t>Mbulimi më i mirë me shërbime sociale, nëpërmjet Fondit Social, për të lehtësuar integrimin e grave dhe vajzave, nga të gjitha grupet, në vendin e punës</t>
  </si>
  <si>
    <t>NJVV, Org. ndërkombëtare</t>
  </si>
  <si>
    <t>I.3.4. Përmirësimi i aksesit të grave dhe vajzave rurale në tregun e  punës përmes financimit të ndërmarrjeve sociale</t>
  </si>
  <si>
    <t>SHSSH/DRSHS, NJVV, OJF, org. ndërkombëtare</t>
  </si>
  <si>
    <t>Qëllimi strategjik 2. Përmbushja e të drejtave të grave dhe burrave, vajzave dhe djemve nga të gjitha grupet për pjesëmarrje dhe udhëheqje të barabartë në vendimmarrjen publike</t>
  </si>
  <si>
    <t>Objektivi Specifik: Krijimi i kushteve që mundësojnë pjesëmarrje të barabartë të grave, burrave, vajzave dhe djemve, nga të gjitha grupet (nga zonat rurale, minoritetet etnike, me aftësi të kufizuara, LGBTI+, të moshuar/moshuara, nëna të vetme, të dhunuara/dhunuar, etj.), në vendimmarrjen publike, në nivel vendor</t>
  </si>
  <si>
    <t>II.1</t>
  </si>
  <si>
    <t>II.1.1</t>
  </si>
  <si>
    <t>II.1.2</t>
  </si>
  <si>
    <t>II.1.3</t>
  </si>
  <si>
    <t>II.1.4</t>
  </si>
  <si>
    <t>II.1.5</t>
  </si>
  <si>
    <t>Zbatimi i kuadrit ligjor që mundëson pjesëmarrjen e barabartë të grave dhe vajzave, nga të gjitha grupet, në vendimmarrje në nivel vendor</t>
  </si>
  <si>
    <t xml:space="preserve">MASR/DRAP/ZVA, 
AVGK, BtF, OJF, org. ndërkombëtare
</t>
  </si>
  <si>
    <t>01320 Veprimtaria   Statistikore, 09230 Arsimi i Mesëm i Lartë</t>
  </si>
  <si>
    <t>31/12/2030</t>
  </si>
  <si>
    <t>Studimi dhe monitorimi i fenomenit të dhunës ndaj grave në zgjedhje dhe politikë në nivelin vendor</t>
  </si>
  <si>
    <t>Programi Buxhetor (Kod emertim)</t>
  </si>
  <si>
    <t xml:space="preserve">MB/AMNJVV, AVGK, OSHC, Org. ndërkombëtare </t>
  </si>
  <si>
    <t>Përmirësimi i kuadrit ligjor për adresimin në mënyrën e duhur të seksizimit dhe dhunës ndaj grave në zgjedhje dhe politikë</t>
  </si>
  <si>
    <t>01110 Planifikim, Menaxhim Administrim, 1120 Veprimtari legjislative, diplomacia dhe kontrolli parlamentar</t>
  </si>
  <si>
    <t>AGD, AVGK, AP, KMD, MSHMS, OSHC, Org. ndërkombëtare</t>
  </si>
  <si>
    <t>Fuqizimi i kapaciteteve të Aleancave të Grave Këshilltare për të zbatuar iniciativa që zvogëlojnë seksizmin dhe dhunën ndaj grave në politikë dhe gjatë proceseve zggjedhore</t>
  </si>
  <si>
    <t xml:space="preserve">AP, KMD, MSHMS, OSHC, Org. </t>
  </si>
  <si>
    <t>Fuqizimi i kapaciteteteve të medias, për të paraqitur modele pozitive të grave lidere në politikë dhe vendim-marrjen publike vendore</t>
  </si>
  <si>
    <t>AP, KMD, MSHMS, OSHC, Org. ndërkombëtare</t>
  </si>
  <si>
    <t>II.2</t>
  </si>
  <si>
    <t xml:space="preserve">Objektivi Specifik: Përforcimi i qëndrimeve dhe sjelljeve shoqërore që nxisin pjesëmarrjen dhe udhëheqjen e barabartë të grave dhe burrave, vajzave dhe djemve, nga të gjitha grupet, në vendimmarrjen në nivel vendor </t>
  </si>
  <si>
    <t>II.2.1</t>
  </si>
  <si>
    <t>NJQV</t>
  </si>
  <si>
    <t>MB/AMNJVV, OJF, AVGK, BtF, Akademia,  DRAP.ZVA,  org. ndërkombëtare</t>
  </si>
  <si>
    <t>Krijimi i mjedisit lehtësues për pranimin e modeleve të pjesëmarrjes së barabartë të grave dhe burrave, vajzave dhe djemve, nga të gjtha grupet, në vendimmarrje në nivel vendor</t>
  </si>
  <si>
    <t>Qëllimi strategjik  3. Zvogëlimi i të gjitha formave të praktikave të dëmshme, dhunës me bazë gjinore dhe dhunës në familje</t>
  </si>
  <si>
    <t>Kosto totale Qëllimi i Politikës II (objektiva specifike 2.1+2.2)</t>
  </si>
  <si>
    <t>Objektivi specifik: Mbrojtja më e mirë e grave, burrave, vajzave dhe djemve, nga të gjitha grupet, nga të gjitha format e praktikave të dëmshme, seksizmit, dhunës me bazë gjinore dhe dhunës në familje, përmes përmirësimit të legjislacionit, zbatimit efektiv të tij, ofrimit të shërbimeve mbështetëse të specializuara për personat e dhunuar, ndëshkimin e dhunuesve dhe vënien në funksionim të programeve rehabilituese</t>
  </si>
  <si>
    <t>III.1.1</t>
  </si>
  <si>
    <t>III.1.2</t>
  </si>
  <si>
    <t>III.1.3</t>
  </si>
  <si>
    <t>Përmirësimi i legjislacionit për mbrojtje nga të gjitha format e dhunës me bazë gjinore, dhunës në familje, seksizmit e gjuhës së urrejtjes</t>
  </si>
  <si>
    <t>01110 Planifikim Menaxhin Administrim, 1120 Veprimtari legjislative, diplomacia dhe kontrolli parlamentar</t>
  </si>
  <si>
    <t xml:space="preserve">MSHMS,
Nënkomisioni Parlamentar për BGJ&amp;DHnG,
AP, KMD, SHM, OJF, org.
</t>
  </si>
  <si>
    <t>10430 Përkujdesja Sociale, 01110 Planifikim Menaxhim Administrim, 03140 Policia e Shtetit, 09820 Veprimtari Arsimore</t>
  </si>
  <si>
    <t>Zbatimi i kuadrit ligjor të përmirësuar, përfshirë dhe ndryshimet e vitit 2020 e në vazhdimësi</t>
  </si>
  <si>
    <t>SHM, Akademia e Policisë, MSHMS, NJVV, OJF, org. ndërkomb</t>
  </si>
  <si>
    <t xml:space="preserve">MD
MB/PSHSH/MSHMS
</t>
  </si>
  <si>
    <t>Krijimi i mundësive për rehabilitimin e dhunuesve, bazuar në standardet e Konventës së Stambollit dhe modelet positive ndërkombëtare</t>
  </si>
  <si>
    <t xml:space="preserve">MFE, 
OJF, org. ndërkombëtare 
</t>
  </si>
  <si>
    <t>III.2</t>
  </si>
  <si>
    <t>III.2.1</t>
  </si>
  <si>
    <t>III.2.2</t>
  </si>
  <si>
    <t>III.2.3</t>
  </si>
  <si>
    <t>III.2.4</t>
  </si>
  <si>
    <t>III.2.5</t>
  </si>
  <si>
    <t>III.2.6</t>
  </si>
  <si>
    <t>Objektivi specifik: Rritja e aksesit në shërbimet mbështetëse të specializuara për gratë, burrat, vajzat dhe djemtë, nga të gjitha grupet (nga zonat rurale, minoritetet etnike, me aftësi të kufizuara, LGBTI+, të varur nga substancat, të moshuara/moshuar, me probleme të shëndetit mendor, azilkërkuese, etj), të cilët përjetojnë praktika të dëmshme, dhunë seksuale dhe forma të tjera të dhunës me bazë gjinore e dhunës në familje, si në situata normale ashtu dhe në situata të krizave humanitare e gjendjeve të fatkeqësive natyrore.</t>
  </si>
  <si>
    <t>Shtimi/përmirësimi i shërbimeve mbështetëse të specializuara për të mbijetuarat/mbijetuarit e sulmeve seksuale, nga të gjitha grupet</t>
  </si>
  <si>
    <t xml:space="preserve">MSHMS
MB/AMNJVV
</t>
  </si>
  <si>
    <t>MFE, NJVV, org. ndërkombëtare</t>
  </si>
  <si>
    <t>07330 Shërbime të Kujdesit Shëndetësor Dytësor</t>
  </si>
  <si>
    <t>01110 Planifikim Menaxhimi, 06190 Strehimi</t>
  </si>
  <si>
    <t>Shtimi/përmirësimi i shërbimeve mbështetëse të specializuara të strehimit emergjent</t>
  </si>
  <si>
    <t>MSHMS/SHSSH, MFE, OJF, org. ndërkombëtare</t>
  </si>
  <si>
    <t>Shtimi/përmirësimi i shërbimeve mbështetëse të specializuara të strehimit afatgjatë</t>
  </si>
  <si>
    <t xml:space="preserve">MFE, 
org. ndërkombëtare 
</t>
  </si>
  <si>
    <t xml:space="preserve">Mbështetja financiare e OJF të cilat ofrojnë shërbime të specializuara të formave të ndryshme, për rastet e dhunës me bazë gjinore e dhunës në familje </t>
  </si>
  <si>
    <t xml:space="preserve">MFE, NJVV, org. ndërkombëtare </t>
  </si>
  <si>
    <t>Përmirësimi i funksionimit të MKR në nivel vendor</t>
  </si>
  <si>
    <t xml:space="preserve">MFE, MB/AMNJVV, MSHMS
org. ndërkombëtare
</t>
  </si>
  <si>
    <t>NJQV, MSHMS</t>
  </si>
  <si>
    <t>Krijimi i mundësive për riintegrimin e të mbijetuarave të dhunës nëpërmjet sigurimit të strehimit afatgjatë, përmes lehtësimit të praktikave të përfitimit të strehimit social</t>
  </si>
  <si>
    <t>MB/AMNJVV</t>
  </si>
  <si>
    <t xml:space="preserve">MSHMS, MFE, MD, OJF,
org. ndërkombëtare 
</t>
  </si>
  <si>
    <t>III.3</t>
  </si>
  <si>
    <t>III.3.1</t>
  </si>
  <si>
    <t>Objektivi specifik: Përmirësimi i qasjes në drejtësi të grave dhe vajzave, nga të gjitha grupet (nga zonat rurale, minoritetet etnike, me aftësi të kufizuara, LBTI+, nëna të vetme, të moshuara, azilkërkuese, etj), për të mbrojtur të drejtat e tyre</t>
  </si>
  <si>
    <t>Mbështetja e subjekteve që ofrojnë shërbim ligjor falas dhe rritja e kapaciteteve të profesionistëve të këtyre subjekteve për trajtimin e çështjeve me ndjeshmërinë dhe profesionalizmin e duhur</t>
  </si>
  <si>
    <t>MFE, org. ndërkombëtare</t>
  </si>
  <si>
    <t>III.4</t>
  </si>
  <si>
    <t>III.4.1</t>
  </si>
  <si>
    <t>III.4.2</t>
  </si>
  <si>
    <t>III.5</t>
  </si>
  <si>
    <t>III.5.1</t>
  </si>
  <si>
    <t>III.5.2</t>
  </si>
  <si>
    <t>Edukimi i shoqërisë me parimet e barazisë gjinore</t>
  </si>
  <si>
    <t>ministritë e linjës, NJVV, OJF, org. ndërkombëtare, mediat, akademia</t>
  </si>
  <si>
    <t>III.4.2. Investimi në prindërimin pozitiv</t>
  </si>
  <si>
    <t xml:space="preserve">NJVV, QSUOGJ,
MFE, MD, MSHMS, OJF, org. ndërkombëtare
</t>
  </si>
  <si>
    <t>MB, MSHMS</t>
  </si>
  <si>
    <t>10430 Përkujdesja Sociale, ASPA</t>
  </si>
  <si>
    <t>10430 Përkujdesja Sociale, 01170 Gjendja Civile, 09450 Fonde për Arsimin e Larte</t>
  </si>
  <si>
    <t xml:space="preserve">Objektivi specifik: Fuqizimi i grave dhe vajzave nga të gjitha grupet (nga zonat rurale, minoritetet etnike, me aftësi të kufizuara, LBTI+, nëna të vetme, të dhunuara, etj) për të pasur kontroll të plotë, për të vendosur lirshëm dhe me përgjegjësi për çështjet që lidhen me shëndetin seksual e riprodhues </t>
  </si>
  <si>
    <t>07220 Shërbime të Kujdesit Shëndetësor Parësor, 07450 Shërbime të Shëndetit Publik</t>
  </si>
  <si>
    <t>07450 Shërbime të Shëndetit Publik, 01110 (14) Planifikim Menaxhim Administrim , 09820 Shkolla e Magjistratures, 09120 Arsimi Baze (perfshire parashkollorin)</t>
  </si>
  <si>
    <t>Përmirësimi i kapaciteteve të profesionistëve e profesionisteve të shëndetësisë për ofrimin e shërbimeve cilësore mbi shëndetin seksual e riprodhues për gratë, burrat, vajzat dhe djemtë nga të gjitha grupet, përfshi dhe në situata të emergjencave civile dhe fatkeqësive natyrore</t>
  </si>
  <si>
    <t>QKEV, OJF, org. ndërkombëtare</t>
  </si>
  <si>
    <t>Krijimi i mjedisit lehtësues për vajzat, të rejat dhe gratë nga të gjitha grupet, që të marrin vendime të informuara mbi jetën e tyre, marrëdhëniet seksuale, përdorimin e një metode kontraceptive dhe kujdesin për shëndetin e tyre seksual e riprodhues</t>
  </si>
  <si>
    <t>NJVKSH, MASR/ZVA, NJVV, OJF, org. ndërkombëtare</t>
  </si>
  <si>
    <t>Kosto totale Qëllimi i Politikës III (objektiva specifike III.1+III.2+III.3+III.4+III.5)</t>
  </si>
  <si>
    <t>Kosto Objektivi specifik III.5</t>
  </si>
  <si>
    <t>Kosto Objektivi specifik III.4</t>
  </si>
  <si>
    <t>Qëllimi strategjik 4: Aplikimi i integrimit gjinor si mjeti kryesor për arritjen e barazisë gjinore në shoqëri</t>
  </si>
  <si>
    <t>IV.1</t>
  </si>
  <si>
    <t>Ministritë e linjës</t>
  </si>
  <si>
    <t>IV.1.1</t>
  </si>
  <si>
    <t>IV.1.2</t>
  </si>
  <si>
    <t>IV.1.1. Fuqizimi i rolit të KKBGJ dhe krijimi i grupit ndërinstitucional të punës për statistikat gjinore</t>
  </si>
  <si>
    <t>IV.1.2.  Fuqizimi i Strukturës Shtetërore kryesore përgjegjëse të Barazisë Gjinore</t>
  </si>
  <si>
    <t>Kosto Objektivi specifik IV.1</t>
  </si>
  <si>
    <t>IV.2</t>
  </si>
  <si>
    <t>Objektivi strategjik: Monitorimi i zbatimit të programeve në të cilat është aplikuar buxhetimi i përgjigjshëm gjinor, në nivel qendror</t>
  </si>
  <si>
    <t>Objektivi strategjik: Fuqizimi i rolit të KKBGJ dhe krijimi i grupit ndërinstitucional të punës për statistikat gjinore</t>
  </si>
  <si>
    <t>IV.2.1. Rritja e transparencës në përdorimin e fondeve</t>
  </si>
  <si>
    <t>01120 Menaxhimi i Shpezimeve Publike, ASPA</t>
  </si>
  <si>
    <t>Kosto Objektivi specifik IV.2</t>
  </si>
  <si>
    <t xml:space="preserve">Ministritë e linjës,
org. ndërkombëtare
</t>
  </si>
  <si>
    <t>IV.3</t>
  </si>
  <si>
    <t>IV.2.1</t>
  </si>
  <si>
    <t>IV.3.1</t>
  </si>
  <si>
    <t>Objektivi strategjik: Mbështetja e Njësive të Vetëqeverisjes Vendore për njohjen dhe zbatimin e detyrimit ligjor për aplikimin e buxhetimit të përgjigjshëm gjinor.</t>
  </si>
  <si>
    <t>IV.3.1. Zbatimi i BPGJ në nivel vendor, në të gjitha bashkitë në vend</t>
  </si>
  <si>
    <t xml:space="preserve">MB/AMNJVV, MFE, 
org. ndërkombëtare
</t>
  </si>
  <si>
    <t>10430 Përkujdesja sociale, ASPA, 01110 (16) Planifikim Menaxhimi</t>
  </si>
  <si>
    <t>10430 Përkujdesja sociale</t>
  </si>
  <si>
    <t>Kosto Objektivi specifik IV.3</t>
  </si>
  <si>
    <t>Kosto totale Qëllimi i Politikës IV (objektiva specifike IV.1+IV.2+IV.3)</t>
  </si>
  <si>
    <t>Kosto totale e Planit të Veprimit = QP I + QP II + QP III + QP IV</t>
  </si>
  <si>
    <t>Hendeku financiar
2021-2030
(në Lekë)</t>
  </si>
  <si>
    <t>AKPA, MSHMS, ISSH, MD,KMD, AP, NJVV, OJF, org. ndërkombëtare</t>
  </si>
  <si>
    <r>
      <rPr>
        <b/>
        <u/>
        <sz val="12"/>
        <color indexed="8"/>
        <rFont val="Times New Roman"/>
        <family val="1"/>
      </rPr>
      <t>Objektivi Specifik I.1</t>
    </r>
    <r>
      <rPr>
        <u/>
        <sz val="12"/>
        <color indexed="8"/>
        <rFont val="Times New Roman"/>
        <family val="1"/>
      </rPr>
      <t>:</t>
    </r>
    <r>
      <rPr>
        <sz val="12"/>
        <color indexed="8"/>
        <rFont val="Times New Roman"/>
        <family val="1"/>
      </rPr>
      <t xml:space="preserve">  Zbatimi i kuadrit ligjor dhe politikave të përmirësuara, që mundësojnë ndarje të barabartë të punës dhe kujdesit të papaguar në familje, ndërmjet grave dhe burrave, vajzave dhe djemve</t>
    </r>
  </si>
  <si>
    <t>MD, MFE,MBZHR</t>
  </si>
  <si>
    <t>MSHMS, NJVV, OJF, Ministri i Shtetit për Mbrojtjen e Sipërmarrjes,  MIE, org. ndërkombëtare</t>
  </si>
  <si>
    <t>Burimi i Financimit (2024-2030)</t>
  </si>
  <si>
    <r>
      <rPr>
        <b/>
        <u/>
        <sz val="12"/>
        <color indexed="8"/>
        <rFont val="Times New Roman"/>
        <family val="1"/>
      </rPr>
      <t>Objektivi Specifik I.2</t>
    </r>
    <r>
      <rPr>
        <sz val="12"/>
        <color indexed="8"/>
        <rFont val="Times New Roman"/>
        <family val="1"/>
      </rPr>
      <t>:  Rritja e aksesit të grave dhe vajzave, nga të gjitha grupet (nga zonat rurale, minoritetet etnike, me aftësi të kufizuara, LBTI+, të moshuara, nëna të vetme, vajza mbi 16 vjeç, etj) në shërbimet dhe produktet financiare, si dhe në burimet produktive</t>
    </r>
  </si>
  <si>
    <r>
      <rPr>
        <b/>
        <u/>
        <sz val="12"/>
        <color indexed="8"/>
        <rFont val="Times New Roman"/>
        <family val="1"/>
      </rPr>
      <t>Objektivi Specifik I.3</t>
    </r>
    <r>
      <rPr>
        <sz val="12"/>
        <color indexed="8"/>
        <rFont val="Times New Roman"/>
        <family val="1"/>
      </rPr>
      <t>: Zvogëlimi i barrierave që i mbajnë gratë dhe vajzat larg tregut të punës, si dhe rritja e aksesit të grave dhe vajzave nga të gjitha grupet (nga zonat rurale, minoritetet etnike, me aftësi të kufizuara, LBTI+, të moshuara, nëna të vetme, të dhunuara, etj), për punë të denjë edhe në sektorët jo-tradicionalë të punësimit, (në veçanti në shkencë, teknologji, inxhinieri, matematikë),</t>
    </r>
  </si>
  <si>
    <t>Qëllimi strategjik 2: Përmbushja e të drejtave të grave dhe burrave, vajzave dhe djemve nga të gjitha grupet për pjesëmarrje dhe udhëheqje të barabartë në vendimmarrjen publike</t>
  </si>
  <si>
    <r>
      <rPr>
        <b/>
        <u/>
        <sz val="12"/>
        <color indexed="8"/>
        <rFont val="Times New Roman"/>
        <family val="1"/>
      </rPr>
      <t>Objektivi Specifik II.1</t>
    </r>
    <r>
      <rPr>
        <sz val="12"/>
        <color indexed="8"/>
        <rFont val="Times New Roman"/>
        <family val="1"/>
      </rPr>
      <t>: Krijimi i kushteve që mundësojnë pjesëmarrje të barabartë të grave, burrave, vajzave dhe djemve, nga të gjitha grupet (nga zonat rurale, minoritetet etnike, me aftësi të kufizuara, LGBTI+, të moshuar/moshuara, nëna të vetme, të dhunuara/dhunuar, etj.), në vendimmarrjen publike, në nivel vendor</t>
    </r>
  </si>
  <si>
    <r>
      <rPr>
        <b/>
        <u/>
        <sz val="12"/>
        <color indexed="8"/>
        <rFont val="Times New Roman"/>
        <family val="1"/>
      </rPr>
      <t>Objektivi SpecifikII.2</t>
    </r>
    <r>
      <rPr>
        <sz val="12"/>
        <color indexed="8"/>
        <rFont val="Times New Roman"/>
        <family val="1"/>
      </rPr>
      <t xml:space="preserve">: Përforcimi i qëndrimeve dhe sjelljeve shoqërore që nxisin pjesëmarrjen dhe udhëheqjen e barabartë të grave dhe burrave, vajzave dhe djemve, nga të gjitha grupet, në vendimmarrjen në nivel vendor </t>
    </r>
  </si>
  <si>
    <t>Qëllimi strategjik 3: Zvogëlimi i të gjitha formave të praktikave të dëmshme, dhunës me bazë gjinore dhe dhunës në familje</t>
  </si>
  <si>
    <r>
      <rPr>
        <b/>
        <sz val="12"/>
        <color indexed="10"/>
        <rFont val="Times New Roman"/>
        <family val="1"/>
      </rPr>
      <t xml:space="preserve">Kosto totale Qëllimi i Politikës II </t>
    </r>
    <r>
      <rPr>
        <sz val="12"/>
        <color theme="1"/>
        <rFont val="Times New Roman"/>
        <family val="1"/>
      </rPr>
      <t xml:space="preserve">
(objektiva specifike 2.1+2.2)</t>
    </r>
  </si>
  <si>
    <t>AVGK/NJQV</t>
  </si>
  <si>
    <t>MD, AVGK/NJQV</t>
  </si>
  <si>
    <t>MASR/DRAP/ZVA, 
AVGK, BtF, OJF, MB, MSHMS, KMD, org. ndërkombëtare</t>
  </si>
  <si>
    <r>
      <rPr>
        <b/>
        <u/>
        <sz val="12"/>
        <color indexed="8"/>
        <rFont val="Times New Roman"/>
        <family val="1"/>
      </rPr>
      <t>Objektivi specifik III.1</t>
    </r>
    <r>
      <rPr>
        <sz val="12"/>
        <color indexed="8"/>
        <rFont val="Times New Roman"/>
        <family val="1"/>
      </rPr>
      <t>: Mbrojtja më e mirë e grave, burrave, vajzave dhe djemve, nga të gjitha grupet, nga të gjitha format e praktikave të dëmshme, seksizmit, dhunës me bazë gjinore dhe dhunës në familje, përmes përmirësimit të legjislacionit, zbatimit efektiv të tij, ofrimit të shërbimeve mbështetëse të specializuara për personat e dhunuar, ndëshkimin e dhunuesve dhe vënien në funksionim të programeve rehabilituese</t>
    </r>
  </si>
  <si>
    <r>
      <rPr>
        <b/>
        <u/>
        <sz val="12"/>
        <color indexed="8"/>
        <rFont val="Times New Roman"/>
        <family val="1"/>
      </rPr>
      <t>Objektivi specifik III.2</t>
    </r>
    <r>
      <rPr>
        <sz val="12"/>
        <color indexed="8"/>
        <rFont val="Times New Roman"/>
        <family val="1"/>
      </rPr>
      <t>: Rritja e aksesit në shërbimet mbështetëse të specializuara për gratë, burrat, vajzat dhe djemtë, nga të gjitha grupet (nga zonat rurale, minoritetet etnike, me aftësi të kufizuara, LGBTI+, të varur nga substancat, të moshuara/moshuar, me probleme të shëndetit mendor, azilkërkuese, etj), të cilët përjetojnë praktika të dëmshme, dhunë seksuale dhe forma të tjera të dhunës me bazë gjinore e dhunës në familje, si në situata normale ashtu dhe në situata të krizave humanitare e gjendjeve të fatkeqësive natyrore.</t>
    </r>
  </si>
  <si>
    <r>
      <rPr>
        <b/>
        <u/>
        <sz val="12"/>
        <color indexed="8"/>
        <rFont val="Times New Roman"/>
        <family val="1"/>
      </rPr>
      <t>Objektivi specifik III.3</t>
    </r>
    <r>
      <rPr>
        <sz val="12"/>
        <color indexed="8"/>
        <rFont val="Times New Roman"/>
        <family val="1"/>
      </rPr>
      <t>: Përmirësimi i qasjes në drejtësi të grave dhe vajzave, nga të gjitha grupet (nga zonat rurale, minoritetet etnike, me aftësi të kufizuara, LBTI+, nëna të vetme, të moshuara, azilkërkuese, etj), për të mbrojtur të drejtat e tyre</t>
    </r>
  </si>
  <si>
    <r>
      <rPr>
        <b/>
        <u/>
        <sz val="12"/>
        <color indexed="8"/>
        <rFont val="Times New Roman"/>
        <family val="1"/>
      </rPr>
      <t>Objektivi specifik III.4</t>
    </r>
    <r>
      <rPr>
        <sz val="12"/>
        <color indexed="8"/>
        <rFont val="Times New Roman"/>
        <family val="1"/>
      </rPr>
      <t>: Përmirësimi i qasjes në drejtësi të grave dhe vajzave, nga të gjitha grupet (nga zonat rurale, minoritetet etnike, me aftësi të kufizuara, LBTI+, nëna të vetme, të moshuara, azilkërkuese, etj), për të mbrojtur të drejtat e tyre</t>
    </r>
  </si>
  <si>
    <r>
      <rPr>
        <b/>
        <u/>
        <sz val="12"/>
        <color indexed="8"/>
        <rFont val="Times New Roman"/>
        <family val="1"/>
      </rPr>
      <t>Objektivi specifik III.5:</t>
    </r>
    <r>
      <rPr>
        <sz val="12"/>
        <color indexed="8"/>
        <rFont val="Times New Roman"/>
        <family val="1"/>
      </rPr>
      <t xml:space="preserve"> Fuqizimi i grave dhe vajzave nga të gjitha grupet (nga zonat rurale, minoritetet etnike, me aftësi të kufizuara, LBTI+, nëna të vetme, të dhunuara, etj) për të pasur kontroll të plotë, për të vendosur lirshëm dhe me përgjegjësi për çështjet që lidhen me shëndetin seksual e riprodhues </t>
    </r>
  </si>
  <si>
    <r>
      <rPr>
        <b/>
        <sz val="12"/>
        <color indexed="10"/>
        <rFont val="Times New Roman"/>
        <family val="1"/>
      </rPr>
      <t xml:space="preserve">Kosto totale Qëllimi i Politikës III </t>
    </r>
    <r>
      <rPr>
        <sz val="12"/>
        <color theme="1"/>
        <rFont val="Times New Roman"/>
        <family val="1"/>
      </rPr>
      <t xml:space="preserve">
(objektiva specifike 3.1+3.2+3.3+3.4+3.5)</t>
    </r>
  </si>
  <si>
    <t>Kosto totale (QS1+QS2+QS3+QS4)</t>
  </si>
  <si>
    <r>
      <rPr>
        <b/>
        <u/>
        <sz val="12"/>
        <color indexed="8"/>
        <rFont val="Times New Roman"/>
        <family val="1"/>
      </rPr>
      <t>Objektivi strategjik IV.3</t>
    </r>
    <r>
      <rPr>
        <sz val="12"/>
        <color indexed="8"/>
        <rFont val="Times New Roman"/>
        <family val="1"/>
      </rPr>
      <t>: Mbështetja e Njësive të Vetëqeverisjes Vendore për njohjen dhe zbatimin e detyrimit ligjor për aplikimin e buxhetimit të përgjigjshëm gjinor.</t>
    </r>
  </si>
  <si>
    <r>
      <rPr>
        <b/>
        <u/>
        <sz val="12"/>
        <color indexed="8"/>
        <rFont val="Times New Roman"/>
        <family val="1"/>
      </rPr>
      <t>Objektivi strategjik IV.2</t>
    </r>
    <r>
      <rPr>
        <sz val="12"/>
        <color indexed="8"/>
        <rFont val="Times New Roman"/>
        <family val="1"/>
      </rPr>
      <t>: Monitorimi i zbatimit të programeve në të cilat është aplikuar buxhetimi i përgjigjshëm gjinor, në nivel qendror</t>
    </r>
  </si>
  <si>
    <r>
      <rPr>
        <b/>
        <u/>
        <sz val="12"/>
        <color indexed="8"/>
        <rFont val="Times New Roman"/>
        <family val="1"/>
      </rPr>
      <t>Objektivi strategjik IV.1</t>
    </r>
    <r>
      <rPr>
        <sz val="12"/>
        <color indexed="8"/>
        <rFont val="Times New Roman"/>
        <family val="1"/>
      </rPr>
      <t>: Fuqizimi i rolit të KKBGJ dhe krijimi i grupit ndërinstitucional të punës për statistikat gjinore</t>
    </r>
  </si>
  <si>
    <t xml:space="preserve"> Buxhetin 2024-2030</t>
  </si>
  <si>
    <t>2021-2030</t>
  </si>
  <si>
    <t>II. Programi buxhetor që kontribuon për qëllimin e politikës: 10220 Sigurimi Shoqeror, 01320 Veprimtaria Statistikore, 01110 Planifikim Menaxhim Administrim Kodi 14, 09450 Fonde për Arsimin e Larte, 03310 Ndihma Juridike Falas, 04130 Mbeshtetje per Zhvillimin Ekonomik,  04250 Zhvillimi Rural duke mbështur prodhimin bujqësor, blegtoral, agroindustrinë dhe marketingun, 05320 Mbrojtja e Mjedisit, 04860 Këshillimi dhe Informacioni Bujqësor, 10550 Tregu i Punes, 09240 Arsimi i Mesem (Profesional), 09820 Veprimtari  Arsimore, 01110 Planifikim Menaxhim Administrim, 10430 Përkujdesja Sociale</t>
  </si>
  <si>
    <t>II. Programi buxhetor që kontribuon për qëllimin e politikës: 01320 Veprimtaria   Statistikore, 09230 Arsimi i Mesëm i Lartë, 01110 Planifikim, Menaxhim Administrim, 1120 Veprimtari legjislative, diplomacia dhe kontrolli parlamentar</t>
  </si>
  <si>
    <t>MD
MB/PSHSH/MSHMS</t>
  </si>
  <si>
    <t>SHM, Akademia e Policisë, MSHMS, MFE, NJVV, OJF, org. ndërkomb</t>
  </si>
  <si>
    <t>MSHMS, MB/AMNJVV, NJQV</t>
  </si>
  <si>
    <t>P1: Përmbushja e të drejtave ekonomike dhe sociale për gratë dhe burrat në shoqëri dhe fuqizimi i grave dhe vajzave nga të gjitha grupet (nga zonat rurale, minoritetet etnike, me aftësi të kufizuara, LBTI+, të moshuara, nëna të vetme, etj), duke synuar një rritje dhe qendrueshmëri të ekonomisë mjedisore (së gjelbër), si dhe pjesëmarrjen e tyre të barabartë në dixhitalizim</t>
  </si>
  <si>
    <t>P2: Përmbushja e të drejtave të grave dhe burrave, vajzave dhe djemve nga të gjitha grupet për pjesëmarrje dhe udhëheqje të barabartë në vendimmarrjen publike</t>
  </si>
  <si>
    <t>Qëllimi strategjik 1 Përmbushja e të drejtave ekonomike dhe sociale për gratë dhe burrat në shoqëri dhe fuqizimi i grave dhe vajzave nga të gjitha grupet (nga zonat rurale, minoritetet etnike, me aftësi të kufizuara, LBTI+, të moshuara, nëna të vetme, etj), duke synuar një rritje dhe qendrueshmëri të ekonomisë mjedisore (së gjelbër), si dhe pjesëmarrjen e tyre të barabartë në dixhitalizim</t>
  </si>
  <si>
    <t>P3:  Zvogëlimi i të gjitha formave të praktikave të dëmshme, dhunës me bazë gjinore dhe dhunës në familje</t>
  </si>
  <si>
    <t>P4: Aplikimi i integrimit gjinor si mjeti kryesor për arritjen e barazisë gjinore në shoqëri</t>
  </si>
  <si>
    <t>NJVV, QSUOGJ,
MFE, MD, MSHMS, OJF, org. ndërkombëtare</t>
  </si>
  <si>
    <t>MB/AMNJVV, MFE, 
org. ndërkombëtare</t>
  </si>
  <si>
    <t>Ministritë e linjës,
org. ndërkombëtare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</si>
</sst>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_-* #,##0.00_-;\-* #,##0.00_-;_-* &quot;-&quot;??_-;_-@_-"/>
    <numFmt numFmtId="165" formatCode="_(* #,##0_);_(* \(#,##0\);_(* &quot;-&quot;??_);_(@_)"/>
    <numFmt numFmtId="166" formatCode="0.0%"/>
  </numFmts>
  <fonts count="54" x14ac:knownFonts="1">
    <font>
      <sz val="11"/>
      <color theme="1"/>
      <name val="Calibri"/>
      <family val="2"/>
      <scheme val="minor"/>
    </font>
    <font>
      <sz val="10"/>
      <name val="Arial"/>
      <family val="2"/>
      <charset val="238"/>
    </font>
    <font>
      <sz val="10"/>
      <name val="Arial"/>
      <family val="2"/>
    </font>
    <font>
      <b/>
      <sz val="9"/>
      <color indexed="10"/>
      <name val="Times New Roman"/>
      <family val="1"/>
    </font>
    <font>
      <sz val="9"/>
      <color indexed="8"/>
      <name val="Times New Roman"/>
      <family val="1"/>
    </font>
    <font>
      <b/>
      <sz val="9"/>
      <color indexed="8"/>
      <name val="Times New Roman"/>
      <family val="1"/>
    </font>
    <font>
      <b/>
      <i/>
      <sz val="9"/>
      <color indexed="30"/>
      <name val="Times New Roman"/>
      <family val="1"/>
    </font>
    <font>
      <sz val="8"/>
      <name val="Calibri"/>
      <family val="2"/>
    </font>
    <font>
      <sz val="11"/>
      <color theme="1"/>
      <name val="Calibri"/>
      <family val="2"/>
      <scheme val="minor"/>
    </font>
    <font>
      <sz val="11"/>
      <color theme="0"/>
      <name val="Calibri"/>
      <family val="2"/>
      <scheme val="minor"/>
    </font>
    <font>
      <sz val="12"/>
      <color theme="1"/>
      <name val="Calibri"/>
      <family val="2"/>
      <scheme val="minor"/>
    </font>
    <font>
      <b/>
      <sz val="11"/>
      <color theme="1"/>
      <name val="Calibri"/>
      <family val="2"/>
      <scheme val="minor"/>
    </font>
    <font>
      <sz val="12"/>
      <color rgb="FF000000"/>
      <name val="Times New Roman"/>
      <family val="1"/>
    </font>
    <font>
      <sz val="9"/>
      <color rgb="FFFF0000"/>
      <name val="Times New Roman"/>
      <family val="1"/>
    </font>
    <font>
      <b/>
      <sz val="12"/>
      <color rgb="FF000000"/>
      <name val="Times New Roman"/>
      <family val="1"/>
    </font>
    <font>
      <sz val="12"/>
      <color theme="1"/>
      <name val="Times New Roman"/>
      <family val="1"/>
    </font>
    <font>
      <b/>
      <sz val="9"/>
      <color theme="1"/>
      <name val="Times New Roman"/>
      <family val="1"/>
    </font>
    <font>
      <sz val="9"/>
      <color theme="1"/>
      <name val="Times New Roman"/>
      <family val="1"/>
    </font>
    <font>
      <b/>
      <sz val="9"/>
      <color rgb="FF000000"/>
      <name val="Times New Roman"/>
      <family val="1"/>
    </font>
    <font>
      <sz val="9"/>
      <color rgb="FF000000"/>
      <name val="Times New Roman"/>
      <family val="1"/>
    </font>
    <font>
      <b/>
      <sz val="9"/>
      <color rgb="FFFF0000"/>
      <name val="Times New Roman"/>
      <family val="1"/>
    </font>
    <font>
      <b/>
      <sz val="11"/>
      <color rgb="FFFF0000"/>
      <name val="Calibri"/>
      <family val="2"/>
      <scheme val="minor"/>
    </font>
    <font>
      <sz val="9"/>
      <color theme="1"/>
      <name val="Arial"/>
      <family val="2"/>
    </font>
    <font>
      <sz val="9"/>
      <color rgb="FF000000"/>
      <name val="Arial"/>
      <family val="2"/>
    </font>
    <font>
      <b/>
      <sz val="9"/>
      <color rgb="FF000000"/>
      <name val="Arial"/>
      <family val="2"/>
    </font>
    <font>
      <b/>
      <sz val="9"/>
      <color theme="1"/>
      <name val="Arial"/>
      <family val="2"/>
    </font>
    <font>
      <b/>
      <i/>
      <sz val="9"/>
      <color rgb="FFFF0000"/>
      <name val="Arial"/>
      <family val="2"/>
    </font>
    <font>
      <b/>
      <sz val="9"/>
      <color rgb="FFFFFFFF"/>
      <name val="Arial"/>
      <family val="2"/>
    </font>
    <font>
      <b/>
      <i/>
      <sz val="9"/>
      <color rgb="FF000000"/>
      <name val="Arial"/>
      <family val="2"/>
    </font>
    <font>
      <b/>
      <sz val="14"/>
      <color rgb="FF0070C0"/>
      <name val="Calibri"/>
      <family val="2"/>
      <scheme val="minor"/>
    </font>
    <font>
      <b/>
      <sz val="11"/>
      <color theme="1"/>
      <name val="Arial"/>
      <family val="2"/>
    </font>
    <font>
      <b/>
      <i/>
      <sz val="9"/>
      <color theme="1"/>
      <name val="Arial"/>
      <family val="2"/>
    </font>
    <font>
      <sz val="11"/>
      <color rgb="FFFF0000"/>
      <name val="Calibri"/>
      <family val="2"/>
      <scheme val="minor"/>
    </font>
    <font>
      <b/>
      <sz val="12"/>
      <color theme="1"/>
      <name val="Times New Roman"/>
      <family val="1"/>
    </font>
    <font>
      <b/>
      <sz val="12"/>
      <color indexed="10"/>
      <name val="Times New Roman"/>
      <family val="1"/>
    </font>
    <font>
      <b/>
      <sz val="12"/>
      <color rgb="FFFF0000"/>
      <name val="Times New Roman"/>
      <family val="1"/>
    </font>
    <font>
      <sz val="9"/>
      <name val="Times New Roman"/>
      <family val="1"/>
    </font>
    <font>
      <sz val="11"/>
      <name val="Calibri"/>
      <family val="2"/>
      <scheme val="minor"/>
    </font>
    <font>
      <b/>
      <sz val="12"/>
      <name val="Times New Roman"/>
      <family val="1"/>
    </font>
    <font>
      <b/>
      <sz val="14"/>
      <color theme="8"/>
      <name val="Times New Roman"/>
      <family val="1"/>
    </font>
    <font>
      <sz val="8"/>
      <color rgb="FF000000"/>
      <name val="Arial"/>
      <family val="2"/>
    </font>
    <font>
      <b/>
      <sz val="14"/>
      <color theme="8" tint="-0.249977111117893"/>
      <name val="Times New Roman"/>
      <family val="1"/>
    </font>
    <font>
      <sz val="14"/>
      <color theme="8" tint="-0.249977111117893"/>
      <name val="Times New Roman"/>
      <family val="1"/>
    </font>
    <font>
      <b/>
      <sz val="12"/>
      <color indexed="8"/>
      <name val="Times New Roman"/>
      <family val="1"/>
    </font>
    <font>
      <sz val="12"/>
      <color indexed="8"/>
      <name val="Times New Roman"/>
      <family val="1"/>
    </font>
    <font>
      <sz val="14"/>
      <color theme="8"/>
      <name val="Times New Roman"/>
      <family val="1"/>
    </font>
    <font>
      <sz val="11"/>
      <color theme="0"/>
      <name val="Calibri"/>
      <family val="2"/>
    </font>
    <font>
      <sz val="5.5"/>
      <color theme="0"/>
      <name val="Calibri"/>
      <family val="2"/>
    </font>
    <font>
      <sz val="10"/>
      <color theme="1"/>
      <name val="Calibri"/>
      <family val="2"/>
      <scheme val="minor"/>
    </font>
    <font>
      <b/>
      <sz val="10"/>
      <color rgb="FFFF0000"/>
      <name val="Times New Roman"/>
      <family val="1"/>
    </font>
    <font>
      <sz val="10"/>
      <color theme="1"/>
      <name val="Times New Roman"/>
      <family val="1"/>
    </font>
    <font>
      <sz val="11"/>
      <color theme="1"/>
      <name val="Times New Roman"/>
      <family val="1"/>
    </font>
    <font>
      <u/>
      <sz val="12"/>
      <color indexed="8"/>
      <name val="Times New Roman"/>
      <family val="1"/>
    </font>
    <font>
      <b/>
      <u/>
      <sz val="12"/>
      <color indexed="8"/>
      <name val="Times New Roman"/>
      <family val="1"/>
    </font>
  </fonts>
  <fills count="14">
    <fill>
      <patternFill patternType="none"/>
    </fill>
    <fill>
      <patternFill patternType="gray125"/>
    </fill>
    <fill>
      <patternFill patternType="solid">
        <fgColor theme="5"/>
      </patternFill>
    </fill>
    <fill>
      <patternFill patternType="solid">
        <fgColor theme="8"/>
      </patternFill>
    </fill>
    <fill>
      <patternFill patternType="solid">
        <fgColor theme="9"/>
      </patternFill>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
      <patternFill patternType="solid">
        <fgColor rgb="FF4472C4"/>
        <bgColor indexed="64"/>
      </patternFill>
    </fill>
    <fill>
      <patternFill patternType="solid">
        <fgColor rgb="FFD9E2F3"/>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medium">
        <color rgb="FF4472C4"/>
      </bottom>
      <diagonal/>
    </border>
    <border>
      <left/>
      <right style="medium">
        <color rgb="FF8EAADB"/>
      </right>
      <top/>
      <bottom style="medium">
        <color rgb="FF8EAADB"/>
      </bottom>
      <diagonal/>
    </border>
    <border>
      <left/>
      <right style="medium">
        <color indexed="64"/>
      </right>
      <top/>
      <bottom style="medium">
        <color rgb="FF4472C4"/>
      </bottom>
      <diagonal/>
    </border>
    <border>
      <left style="medium">
        <color indexed="64"/>
      </left>
      <right style="medium">
        <color rgb="FF8EAADB"/>
      </right>
      <top/>
      <bottom style="medium">
        <color rgb="FF8EAADB"/>
      </bottom>
      <diagonal/>
    </border>
    <border>
      <left/>
      <right style="medium">
        <color indexed="64"/>
      </right>
      <top/>
      <bottom style="medium">
        <color rgb="FF8EAADB"/>
      </bottom>
      <diagonal/>
    </border>
    <border>
      <left style="medium">
        <color indexed="64"/>
      </left>
      <right style="medium">
        <color rgb="FF8EAADB"/>
      </right>
      <top/>
      <bottom/>
      <diagonal/>
    </border>
    <border>
      <left style="medium">
        <color indexed="64"/>
      </left>
      <right style="medium">
        <color rgb="FF8EAADB"/>
      </right>
      <top/>
      <bottom style="medium">
        <color indexed="64"/>
      </bottom>
      <diagonal/>
    </border>
    <border>
      <left style="medium">
        <color rgb="FF8EAADB"/>
      </left>
      <right style="medium">
        <color indexed="64"/>
      </right>
      <top style="medium">
        <color rgb="FF4472C4"/>
      </top>
      <bottom/>
      <diagonal/>
    </border>
    <border>
      <left style="medium">
        <color rgb="FF8EAADB"/>
      </left>
      <right style="medium">
        <color indexed="64"/>
      </right>
      <top/>
      <bottom style="medium">
        <color rgb="FF8EAADB"/>
      </bottom>
      <diagonal/>
    </border>
    <border>
      <left style="medium">
        <color indexed="64"/>
      </left>
      <right style="medium">
        <color rgb="FF8EAADB"/>
      </right>
      <top style="medium">
        <color rgb="FF8EAADB"/>
      </top>
      <bottom/>
      <diagonal/>
    </border>
    <border>
      <left style="medium">
        <color indexed="64"/>
      </left>
      <right/>
      <top/>
      <bottom style="medium">
        <color rgb="FF4472C4"/>
      </bottom>
      <diagonal/>
    </border>
    <border>
      <left style="medium">
        <color indexed="64"/>
      </left>
      <right style="medium">
        <color rgb="FF8EAADB"/>
      </right>
      <top style="medium">
        <color rgb="FF4472C4"/>
      </top>
      <bottom/>
      <diagonal/>
    </border>
    <border>
      <left style="medium">
        <color rgb="FF8EAADB"/>
      </left>
      <right style="medium">
        <color rgb="FF8EAADB"/>
      </right>
      <top style="medium">
        <color rgb="FF8EAADB"/>
      </top>
      <bottom/>
      <diagonal/>
    </border>
    <border>
      <left style="medium">
        <color rgb="FF8EAADB"/>
      </left>
      <right style="medium">
        <color rgb="FF8EAADB"/>
      </right>
      <top/>
      <bottom style="medium">
        <color indexed="64"/>
      </bottom>
      <diagonal/>
    </border>
    <border>
      <left style="medium">
        <color rgb="FF8EAADB"/>
      </left>
      <right style="medium">
        <color indexed="64"/>
      </right>
      <top style="medium">
        <color rgb="FF8EAADB"/>
      </top>
      <bottom/>
      <diagonal/>
    </border>
    <border>
      <left style="medium">
        <color rgb="FF8EAADB"/>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bottom style="medium">
        <color rgb="FF8EAADB"/>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5">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43" fontId="8" fillId="0" borderId="0" applyFont="0" applyFill="0" applyBorder="0" applyAlignment="0" applyProtection="0"/>
    <xf numFmtId="43" fontId="2" fillId="0" borderId="0" applyFont="0" applyFill="0" applyBorder="0" applyAlignment="0" applyProtection="0"/>
    <xf numFmtId="164" fontId="8" fillId="0" borderId="0" applyFont="0" applyFill="0" applyBorder="0" applyAlignment="0" applyProtection="0"/>
    <xf numFmtId="0" fontId="2" fillId="0" borderId="0"/>
    <xf numFmtId="0" fontId="2" fillId="0" borderId="0"/>
    <xf numFmtId="0" fontId="2" fillId="0" borderId="0"/>
    <xf numFmtId="0" fontId="8" fillId="0" borderId="0"/>
    <xf numFmtId="0" fontId="10" fillId="0" borderId="0"/>
    <xf numFmtId="0" fontId="1" fillId="0" borderId="0"/>
    <xf numFmtId="0" fontId="2" fillId="0" borderId="0"/>
    <xf numFmtId="9" fontId="8" fillId="0" borderId="0" applyFont="0" applyFill="0" applyBorder="0" applyAlignment="0" applyProtection="0"/>
  </cellStyleXfs>
  <cellXfs count="373">
    <xf numFmtId="0" fontId="0" fillId="0" borderId="0" xfId="0"/>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3" fontId="11" fillId="5" borderId="0" xfId="0" applyNumberFormat="1" applyFont="1" applyFill="1"/>
    <xf numFmtId="3" fontId="11" fillId="6" borderId="0" xfId="0" applyNumberFormat="1" applyFont="1" applyFill="1"/>
    <xf numFmtId="0" fontId="14" fillId="5" borderId="0" xfId="0" applyFont="1" applyFill="1" applyBorder="1" applyAlignment="1">
      <alignment horizontal="center" vertical="center" wrapText="1"/>
    </xf>
    <xf numFmtId="0" fontId="16" fillId="0" borderId="0" xfId="0" applyFont="1"/>
    <xf numFmtId="0" fontId="17" fillId="0" borderId="0" xfId="0" applyFont="1"/>
    <xf numFmtId="0" fontId="17" fillId="0" borderId="0" xfId="0" applyFont="1" applyFill="1" applyAlignment="1">
      <alignment horizontal="center"/>
    </xf>
    <xf numFmtId="0" fontId="19"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17" fillId="0" borderId="1" xfId="0" applyFont="1" applyBorder="1" applyAlignment="1">
      <alignment wrapText="1"/>
    </xf>
    <xf numFmtId="0" fontId="17" fillId="0" borderId="1" xfId="0" applyFont="1" applyBorder="1"/>
    <xf numFmtId="0" fontId="17" fillId="0" borderId="1" xfId="0" applyFont="1" applyBorder="1" applyAlignment="1">
      <alignment horizontal="center" vertical="center"/>
    </xf>
    <xf numFmtId="0" fontId="17" fillId="0" borderId="1" xfId="0" applyFont="1" applyBorder="1" applyAlignment="1">
      <alignment horizontal="center" wrapText="1"/>
    </xf>
    <xf numFmtId="0" fontId="17" fillId="0" borderId="0" xfId="0" applyFont="1" applyFill="1"/>
    <xf numFmtId="3" fontId="14" fillId="0" borderId="12" xfId="0" applyNumberFormat="1" applyFont="1" applyBorder="1" applyAlignment="1">
      <alignment horizontal="center" vertical="center" wrapText="1"/>
    </xf>
    <xf numFmtId="3" fontId="14" fillId="0" borderId="13" xfId="0" applyNumberFormat="1" applyFont="1" applyBorder="1" applyAlignment="1">
      <alignment horizontal="center" vertical="center" wrapText="1"/>
    </xf>
    <xf numFmtId="3" fontId="12" fillId="0" borderId="1" xfId="4" applyNumberFormat="1" applyFont="1" applyFill="1" applyBorder="1" applyAlignment="1">
      <alignment horizontal="center" vertical="center" wrapText="1"/>
    </xf>
    <xf numFmtId="3" fontId="14" fillId="0" borderId="1" xfId="4" applyNumberFormat="1" applyFont="1" applyFill="1" applyBorder="1" applyAlignment="1">
      <alignment horizontal="center" vertical="center" wrapText="1"/>
    </xf>
    <xf numFmtId="3" fontId="17" fillId="0" borderId="0" xfId="0" applyNumberFormat="1" applyFont="1" applyFill="1" applyAlignment="1">
      <alignment horizontal="center" vertical="center"/>
    </xf>
    <xf numFmtId="3" fontId="19" fillId="0" borderId="1" xfId="0" applyNumberFormat="1" applyFont="1" applyFill="1" applyBorder="1" applyAlignment="1">
      <alignment horizontal="center" vertical="center" wrapText="1"/>
    </xf>
    <xf numFmtId="3" fontId="19" fillId="0" borderId="1" xfId="4" applyNumberFormat="1" applyFont="1" applyBorder="1" applyAlignment="1">
      <alignment horizontal="center" vertical="center" wrapText="1"/>
    </xf>
    <xf numFmtId="3" fontId="19" fillId="0" borderId="1" xfId="4"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xf>
    <xf numFmtId="0" fontId="16" fillId="0" borderId="0" xfId="0" applyFont="1" applyFill="1"/>
    <xf numFmtId="3" fontId="17" fillId="0" borderId="1" xfId="4" applyNumberFormat="1" applyFont="1" applyBorder="1" applyAlignment="1">
      <alignment horizontal="center" vertical="center"/>
    </xf>
    <xf numFmtId="3" fontId="17" fillId="0" borderId="0" xfId="0" applyNumberFormat="1" applyFont="1" applyAlignment="1">
      <alignment horizontal="center" vertical="center"/>
    </xf>
    <xf numFmtId="3" fontId="17" fillId="0" borderId="1" xfId="0" applyNumberFormat="1" applyFont="1" applyBorder="1" applyAlignment="1">
      <alignment horizontal="center" vertical="center"/>
    </xf>
    <xf numFmtId="3" fontId="17" fillId="0" borderId="1" xfId="4" applyNumberFormat="1" applyFont="1" applyFill="1" applyBorder="1" applyAlignment="1">
      <alignment horizontal="center" vertical="center"/>
    </xf>
    <xf numFmtId="3" fontId="0" fillId="0" borderId="0" xfId="0" applyNumberFormat="1" applyAlignment="1">
      <alignment horizontal="center" vertical="center"/>
    </xf>
    <xf numFmtId="3" fontId="0" fillId="0" borderId="18" xfId="0" applyNumberFormat="1" applyBorder="1" applyAlignment="1">
      <alignment horizontal="center" vertical="center"/>
    </xf>
    <xf numFmtId="3" fontId="8" fillId="0" borderId="0" xfId="14" applyNumberFormat="1" applyFont="1" applyAlignment="1">
      <alignment horizontal="center" vertical="center"/>
    </xf>
    <xf numFmtId="0" fontId="17" fillId="0" borderId="1" xfId="0" applyFont="1" applyFill="1" applyBorder="1"/>
    <xf numFmtId="0" fontId="16" fillId="0" borderId="5" xfId="0" applyFont="1" applyBorder="1" applyAlignment="1">
      <alignment horizontal="center" vertical="center"/>
    </xf>
    <xf numFmtId="0" fontId="16" fillId="0" borderId="5" xfId="0" applyFont="1" applyBorder="1" applyAlignment="1">
      <alignment horizontal="center"/>
    </xf>
    <xf numFmtId="0" fontId="20" fillId="0" borderId="1" xfId="0" applyFont="1" applyFill="1" applyBorder="1" applyAlignment="1">
      <alignment horizontal="center" vertical="center" wrapText="1"/>
    </xf>
    <xf numFmtId="3" fontId="17" fillId="0" borderId="0" xfId="4" applyNumberFormat="1" applyFont="1" applyFill="1" applyBorder="1" applyAlignment="1">
      <alignment horizontal="center" vertical="center"/>
    </xf>
    <xf numFmtId="0" fontId="16" fillId="0" borderId="5" xfId="0" applyFont="1" applyFill="1" applyBorder="1" applyAlignment="1">
      <alignment horizontal="center"/>
    </xf>
    <xf numFmtId="0" fontId="17" fillId="0" borderId="0" xfId="0" applyFont="1" applyFill="1" applyBorder="1"/>
    <xf numFmtId="3" fontId="17" fillId="0" borderId="0" xfId="0" applyNumberFormat="1" applyFont="1" applyFill="1" applyBorder="1"/>
    <xf numFmtId="3" fontId="0" fillId="0" borderId="0" xfId="0" applyNumberFormat="1" applyFill="1" applyAlignment="1">
      <alignment horizontal="center" vertical="center"/>
    </xf>
    <xf numFmtId="0" fontId="16" fillId="0" borderId="0" xfId="0" applyFont="1" applyAlignment="1">
      <alignment horizontal="center"/>
    </xf>
    <xf numFmtId="0" fontId="18" fillId="7" borderId="21" xfId="0" applyFont="1" applyFill="1" applyBorder="1" applyAlignment="1">
      <alignment horizontal="center" vertical="center" wrapText="1"/>
    </xf>
    <xf numFmtId="3" fontId="20" fillId="7" borderId="21" xfId="4" applyNumberFormat="1" applyFont="1" applyFill="1" applyBorder="1" applyAlignment="1">
      <alignment horizontal="center" vertical="center" wrapText="1"/>
    </xf>
    <xf numFmtId="0" fontId="18" fillId="7" borderId="23" xfId="0" applyFont="1" applyFill="1" applyBorder="1" applyAlignment="1">
      <alignment horizontal="center" vertical="center" wrapText="1"/>
    </xf>
    <xf numFmtId="0" fontId="17" fillId="0" borderId="0" xfId="0" applyFont="1" applyAlignment="1">
      <alignment horizontal="center"/>
    </xf>
    <xf numFmtId="3" fontId="9" fillId="3" borderId="1" xfId="2" applyNumberFormat="1" applyBorder="1" applyAlignment="1">
      <alignment horizontal="center" vertical="center" wrapText="1"/>
    </xf>
    <xf numFmtId="3" fontId="9" fillId="3" borderId="1" xfId="2" applyNumberFormat="1" applyBorder="1" applyAlignment="1">
      <alignment horizontal="center" vertical="center"/>
    </xf>
    <xf numFmtId="3" fontId="9" fillId="4" borderId="1" xfId="3" applyNumberFormat="1" applyBorder="1" applyAlignment="1">
      <alignment horizontal="center" vertical="center"/>
    </xf>
    <xf numFmtId="3" fontId="9" fillId="2" borderId="1" xfId="1" applyNumberFormat="1" applyBorder="1" applyAlignment="1">
      <alignment horizontal="center" vertical="center"/>
    </xf>
    <xf numFmtId="0" fontId="20" fillId="7" borderId="21" xfId="0" applyFont="1" applyFill="1" applyBorder="1" applyAlignment="1">
      <alignment horizontal="left" vertical="center" wrapText="1"/>
    </xf>
    <xf numFmtId="0" fontId="18" fillId="7" borderId="21" xfId="0" applyFont="1" applyFill="1" applyBorder="1" applyAlignment="1">
      <alignment horizontal="left" vertical="center" wrapText="1"/>
    </xf>
    <xf numFmtId="3" fontId="19" fillId="0" borderId="27" xfId="4" applyNumberFormat="1" applyFont="1" applyBorder="1" applyAlignment="1">
      <alignment horizontal="center" vertical="center" wrapText="1"/>
    </xf>
    <xf numFmtId="3" fontId="19" fillId="0" borderId="28" xfId="4" applyNumberFormat="1" applyFont="1" applyBorder="1" applyAlignment="1">
      <alignment horizontal="center" vertical="center" wrapText="1"/>
    </xf>
    <xf numFmtId="3" fontId="19" fillId="0" borderId="27" xfId="0" applyNumberFormat="1" applyFont="1" applyFill="1" applyBorder="1" applyAlignment="1">
      <alignment horizontal="center" vertical="center" wrapText="1"/>
    </xf>
    <xf numFmtId="0" fontId="19" fillId="0" borderId="27" xfId="0" applyFont="1" applyBorder="1" applyAlignment="1">
      <alignment horizontal="center" vertical="center" wrapText="1"/>
    </xf>
    <xf numFmtId="0" fontId="19" fillId="0" borderId="27" xfId="0" applyFont="1" applyFill="1" applyBorder="1" applyAlignment="1">
      <alignment horizontal="center" vertical="center" wrapText="1"/>
    </xf>
    <xf numFmtId="3" fontId="19" fillId="0" borderId="28" xfId="0" applyNumberFormat="1" applyFont="1" applyBorder="1" applyAlignment="1">
      <alignment horizontal="center" vertical="center" wrapText="1"/>
    </xf>
    <xf numFmtId="3" fontId="17" fillId="0" borderId="2" xfId="4" applyNumberFormat="1" applyFont="1" applyFill="1" applyBorder="1" applyAlignment="1">
      <alignment horizontal="center" vertical="center"/>
    </xf>
    <xf numFmtId="0" fontId="17" fillId="0" borderId="27" xfId="0" applyFont="1" applyBorder="1" applyAlignment="1">
      <alignment horizontal="center"/>
    </xf>
    <xf numFmtId="3" fontId="19" fillId="0" borderId="27" xfId="0" applyNumberFormat="1" applyFont="1" applyBorder="1" applyAlignment="1">
      <alignment horizontal="center" vertical="center" wrapText="1"/>
    </xf>
    <xf numFmtId="3" fontId="17" fillId="0" borderId="27" xfId="0" applyNumberFormat="1" applyFont="1" applyBorder="1" applyAlignment="1">
      <alignment horizontal="center" vertical="center"/>
    </xf>
    <xf numFmtId="3" fontId="17" fillId="0" borderId="28" xfId="0" applyNumberFormat="1" applyFont="1" applyBorder="1" applyAlignment="1">
      <alignment horizontal="center" vertical="center"/>
    </xf>
    <xf numFmtId="3" fontId="17" fillId="0" borderId="27" xfId="0" applyNumberFormat="1" applyFont="1" applyFill="1" applyBorder="1" applyAlignment="1">
      <alignment horizontal="center" vertical="center"/>
    </xf>
    <xf numFmtId="0" fontId="17" fillId="0" borderId="27" xfId="0" applyFont="1" applyFill="1" applyBorder="1" applyAlignment="1">
      <alignment horizontal="center"/>
    </xf>
    <xf numFmtId="3" fontId="17" fillId="0" borderId="2" xfId="0" applyNumberFormat="1" applyFont="1" applyBorder="1" applyAlignment="1">
      <alignment horizontal="center" vertical="center"/>
    </xf>
    <xf numFmtId="0" fontId="16" fillId="0" borderId="27" xfId="0" applyFont="1" applyBorder="1" applyAlignment="1">
      <alignment horizontal="center"/>
    </xf>
    <xf numFmtId="0" fontId="16" fillId="0" borderId="27" xfId="0" applyFont="1" applyFill="1" applyBorder="1" applyAlignment="1">
      <alignment horizontal="center"/>
    </xf>
    <xf numFmtId="3" fontId="16" fillId="0" borderId="27" xfId="0" applyNumberFormat="1" applyFont="1" applyFill="1" applyBorder="1" applyAlignment="1">
      <alignment horizontal="center" vertical="center"/>
    </xf>
    <xf numFmtId="3" fontId="16" fillId="0" borderId="28" xfId="0" applyNumberFormat="1" applyFont="1" applyBorder="1" applyAlignment="1">
      <alignment horizontal="center" vertical="center"/>
    </xf>
    <xf numFmtId="3" fontId="16" fillId="0" borderId="27" xfId="0" applyNumberFormat="1" applyFont="1" applyBorder="1" applyAlignment="1">
      <alignment horizontal="center" vertical="center"/>
    </xf>
    <xf numFmtId="3" fontId="17" fillId="0" borderId="2" xfId="4" applyNumberFormat="1" applyFont="1" applyBorder="1" applyAlignment="1">
      <alignment horizontal="center" vertical="center"/>
    </xf>
    <xf numFmtId="3" fontId="0" fillId="0" borderId="0" xfId="0" applyNumberFormat="1"/>
    <xf numFmtId="0" fontId="18" fillId="0" borderId="5"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0" fillId="8" borderId="35" xfId="0" applyFill="1" applyBorder="1" applyAlignment="1">
      <alignment vertical="center" wrapText="1"/>
    </xf>
    <xf numFmtId="0" fontId="27" fillId="8" borderId="35" xfId="0" applyFont="1" applyFill="1" applyBorder="1" applyAlignment="1">
      <alignment horizontal="center" vertical="center" wrapText="1"/>
    </xf>
    <xf numFmtId="0" fontId="23" fillId="9" borderId="36" xfId="0" applyFont="1" applyFill="1" applyBorder="1" applyAlignment="1">
      <alignment horizontal="center" vertical="center" wrapText="1"/>
    </xf>
    <xf numFmtId="3" fontId="23" fillId="9" borderId="36" xfId="0" applyNumberFormat="1" applyFont="1" applyFill="1" applyBorder="1" applyAlignment="1">
      <alignment horizontal="center" vertical="center" wrapText="1"/>
    </xf>
    <xf numFmtId="0" fontId="22" fillId="0" borderId="36" xfId="0" applyFont="1" applyBorder="1" applyAlignment="1">
      <alignment horizontal="center" vertical="center" wrapText="1"/>
    </xf>
    <xf numFmtId="3" fontId="22" fillId="0" borderId="36" xfId="0" applyNumberFormat="1" applyFont="1" applyBorder="1" applyAlignment="1">
      <alignment horizontal="center" vertical="center" wrapText="1"/>
    </xf>
    <xf numFmtId="0" fontId="25" fillId="9" borderId="36" xfId="0" applyFont="1" applyFill="1" applyBorder="1" applyAlignment="1">
      <alignment horizontal="center" vertical="center" wrapText="1"/>
    </xf>
    <xf numFmtId="3" fontId="24" fillId="9" borderId="36" xfId="0" applyNumberFormat="1" applyFont="1" applyFill="1" applyBorder="1" applyAlignment="1">
      <alignment horizontal="center" vertical="center" wrapText="1"/>
    </xf>
    <xf numFmtId="0" fontId="0" fillId="0" borderId="0" xfId="0" applyBorder="1"/>
    <xf numFmtId="3" fontId="0" fillId="0" borderId="0" xfId="0" applyNumberFormat="1" applyBorder="1"/>
    <xf numFmtId="3" fontId="21" fillId="0" borderId="0" xfId="0" applyNumberFormat="1" applyFont="1" applyBorder="1" applyAlignment="1">
      <alignment horizontal="center" vertical="center"/>
    </xf>
    <xf numFmtId="0" fontId="27" fillId="8" borderId="33" xfId="0" applyFont="1" applyFill="1" applyBorder="1" applyAlignment="1">
      <alignment horizontal="center" vertical="center" wrapText="1"/>
    </xf>
    <xf numFmtId="0" fontId="27" fillId="8" borderId="17" xfId="0" applyFont="1" applyFill="1" applyBorder="1" applyAlignment="1">
      <alignment horizontal="center" vertical="center" wrapText="1"/>
    </xf>
    <xf numFmtId="0" fontId="0" fillId="8" borderId="37" xfId="0" applyFill="1" applyBorder="1" applyAlignment="1">
      <alignment vertical="center" wrapText="1"/>
    </xf>
    <xf numFmtId="0" fontId="24" fillId="9" borderId="38" xfId="0" applyFont="1" applyFill="1" applyBorder="1" applyAlignment="1">
      <alignment horizontal="right" vertical="center" wrapText="1"/>
    </xf>
    <xf numFmtId="3" fontId="28" fillId="9" borderId="39" xfId="0" applyNumberFormat="1" applyFont="1" applyFill="1" applyBorder="1" applyAlignment="1">
      <alignment horizontal="center" vertical="center" wrapText="1"/>
    </xf>
    <xf numFmtId="0" fontId="25" fillId="0" borderId="40" xfId="0" applyFont="1" applyBorder="1" applyAlignment="1">
      <alignment horizontal="right" vertical="center" wrapText="1"/>
    </xf>
    <xf numFmtId="0" fontId="26" fillId="0" borderId="41" xfId="0" applyFont="1" applyBorder="1" applyAlignment="1">
      <alignment horizontal="right" vertical="center" wrapText="1"/>
    </xf>
    <xf numFmtId="0" fontId="32" fillId="0" borderId="0" xfId="0" applyFont="1" applyFill="1" applyBorder="1" applyAlignment="1"/>
    <xf numFmtId="3" fontId="14" fillId="0" borderId="24" xfId="0" applyNumberFormat="1" applyFont="1" applyBorder="1" applyAlignment="1">
      <alignment horizontal="center" vertical="center" wrapText="1"/>
    </xf>
    <xf numFmtId="3" fontId="14" fillId="0" borderId="29" xfId="0" applyNumberFormat="1" applyFont="1" applyBorder="1" applyAlignment="1">
      <alignment horizontal="center" vertical="center" wrapText="1"/>
    </xf>
    <xf numFmtId="0" fontId="14" fillId="0" borderId="18" xfId="0" applyFont="1" applyBorder="1" applyAlignment="1">
      <alignment horizontal="center" vertical="center" wrapText="1"/>
    </xf>
    <xf numFmtId="3" fontId="38" fillId="0" borderId="34" xfId="0" applyNumberFormat="1" applyFont="1" applyBorder="1" applyAlignment="1">
      <alignment horizontal="center" vertical="center" wrapText="1"/>
    </xf>
    <xf numFmtId="3" fontId="37" fillId="0" borderId="32" xfId="0" applyNumberFormat="1" applyFont="1" applyBorder="1" applyAlignment="1">
      <alignment horizontal="center" vertical="center" wrapText="1"/>
    </xf>
    <xf numFmtId="3" fontId="37" fillId="0" borderId="33" xfId="0" applyNumberFormat="1" applyFont="1" applyBorder="1" applyAlignment="1">
      <alignment horizontal="center" vertical="center" wrapText="1"/>
    </xf>
    <xf numFmtId="3" fontId="14" fillId="0" borderId="16" xfId="0" applyNumberFormat="1" applyFont="1" applyBorder="1" applyAlignment="1">
      <alignment horizontal="center" vertical="center" wrapText="1"/>
    </xf>
    <xf numFmtId="3" fontId="14" fillId="0" borderId="32" xfId="0" applyNumberFormat="1" applyFont="1" applyBorder="1" applyAlignment="1">
      <alignment horizontal="center" vertical="center" wrapText="1"/>
    </xf>
    <xf numFmtId="3" fontId="14" fillId="0" borderId="52" xfId="0" applyNumberFormat="1" applyFont="1" applyBorder="1" applyAlignment="1">
      <alignment horizontal="center" vertical="center" wrapText="1"/>
    </xf>
    <xf numFmtId="3" fontId="14" fillId="0" borderId="52" xfId="0" applyNumberFormat="1" applyFont="1" applyFill="1" applyBorder="1" applyAlignment="1">
      <alignment horizontal="center" vertical="center" wrapText="1"/>
    </xf>
    <xf numFmtId="0" fontId="14" fillId="0" borderId="34"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2" xfId="0" applyFont="1" applyFill="1" applyBorder="1" applyAlignment="1">
      <alignment horizontal="center" vertical="center" wrapText="1"/>
    </xf>
    <xf numFmtId="3" fontId="38" fillId="0" borderId="32" xfId="0" applyNumberFormat="1" applyFont="1" applyBorder="1" applyAlignment="1">
      <alignment horizontal="center" vertical="center" wrapText="1"/>
    </xf>
    <xf numFmtId="3" fontId="0" fillId="0" borderId="33" xfId="0" applyNumberFormat="1" applyBorder="1" applyAlignment="1">
      <alignment horizontal="center" vertical="center"/>
    </xf>
    <xf numFmtId="3" fontId="14" fillId="0" borderId="7" xfId="0" applyNumberFormat="1" applyFont="1" applyBorder="1" applyAlignment="1">
      <alignment horizontal="center" vertical="center" wrapText="1"/>
    </xf>
    <xf numFmtId="3" fontId="14" fillId="0" borderId="17" xfId="0" applyNumberFormat="1" applyFont="1" applyBorder="1" applyAlignment="1">
      <alignment horizontal="center" vertical="center" wrapText="1"/>
    </xf>
    <xf numFmtId="0" fontId="14" fillId="0" borderId="15" xfId="0" applyFont="1" applyFill="1" applyBorder="1" applyAlignment="1">
      <alignment horizontal="center" vertical="center" wrapText="1"/>
    </xf>
    <xf numFmtId="3" fontId="12" fillId="0" borderId="9" xfId="4" applyNumberFormat="1" applyFont="1" applyFill="1" applyBorder="1" applyAlignment="1">
      <alignment horizontal="center" vertical="center" wrapText="1"/>
    </xf>
    <xf numFmtId="3" fontId="12" fillId="0" borderId="26" xfId="4" applyNumberFormat="1" applyFont="1" applyFill="1" applyBorder="1" applyAlignment="1">
      <alignment horizontal="center" vertical="center" wrapText="1"/>
    </xf>
    <xf numFmtId="3" fontId="12" fillId="0" borderId="27" xfId="4" applyNumberFormat="1" applyFont="1" applyFill="1" applyBorder="1" applyAlignment="1">
      <alignment horizontal="center" vertical="center" wrapText="1"/>
    </xf>
    <xf numFmtId="3" fontId="14" fillId="0" borderId="28" xfId="4" applyNumberFormat="1" applyFont="1" applyFill="1" applyBorder="1" applyAlignment="1">
      <alignment horizontal="center" vertical="center" wrapText="1"/>
    </xf>
    <xf numFmtId="3" fontId="12" fillId="0" borderId="5" xfId="4" applyNumberFormat="1" applyFont="1" applyFill="1" applyBorder="1" applyAlignment="1">
      <alignment horizontal="center" vertical="center" wrapText="1"/>
    </xf>
    <xf numFmtId="3" fontId="14" fillId="0" borderId="14" xfId="4" applyNumberFormat="1" applyFont="1" applyFill="1" applyBorder="1" applyAlignment="1">
      <alignment horizontal="center" vertical="center" wrapText="1"/>
    </xf>
    <xf numFmtId="41" fontId="14" fillId="0" borderId="1" xfId="4"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3" fontId="14" fillId="0" borderId="1" xfId="0" applyNumberFormat="1" applyFont="1" applyBorder="1" applyAlignment="1">
      <alignment horizontal="center" vertical="center" wrapText="1"/>
    </xf>
    <xf numFmtId="0" fontId="27" fillId="8" borderId="0" xfId="0" applyFont="1" applyFill="1" applyBorder="1" applyAlignment="1">
      <alignment horizontal="center" vertical="center" wrapText="1"/>
    </xf>
    <xf numFmtId="3" fontId="36" fillId="0" borderId="1" xfId="4" applyNumberFormat="1" applyFont="1" applyBorder="1" applyAlignment="1">
      <alignment horizontal="center" vertical="center"/>
    </xf>
    <xf numFmtId="3" fontId="16" fillId="0" borderId="0" xfId="0" applyNumberFormat="1" applyFont="1" applyFill="1"/>
    <xf numFmtId="0" fontId="27" fillId="8" borderId="32" xfId="0" applyFont="1" applyFill="1" applyBorder="1" applyAlignment="1">
      <alignment horizontal="center" vertical="center" wrapText="1"/>
    </xf>
    <xf numFmtId="0" fontId="27" fillId="8" borderId="0" xfId="0" applyFont="1" applyFill="1" applyBorder="1" applyAlignment="1">
      <alignment horizontal="center" vertical="center" wrapText="1"/>
    </xf>
    <xf numFmtId="3" fontId="17" fillId="0" borderId="0" xfId="0" applyNumberFormat="1" applyFont="1" applyFill="1"/>
    <xf numFmtId="3" fontId="14" fillId="0" borderId="15" xfId="4" applyNumberFormat="1"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3" fontId="23" fillId="9" borderId="0" xfId="0" applyNumberFormat="1" applyFont="1" applyFill="1" applyBorder="1" applyAlignment="1">
      <alignment horizontal="center" vertical="center" wrapText="1"/>
    </xf>
    <xf numFmtId="3" fontId="22" fillId="0" borderId="54" xfId="0" applyNumberFormat="1" applyFont="1" applyBorder="1" applyAlignment="1">
      <alignment horizontal="center" vertical="center" wrapText="1"/>
    </xf>
    <xf numFmtId="3" fontId="14" fillId="0" borderId="11" xfId="0" applyNumberFormat="1" applyFont="1" applyBorder="1" applyAlignment="1">
      <alignment horizontal="center" vertical="center" wrapText="1"/>
    </xf>
    <xf numFmtId="3" fontId="14" fillId="0" borderId="19" xfId="0" applyNumberFormat="1" applyFont="1" applyBorder="1" applyAlignment="1">
      <alignment horizontal="center" vertical="center" wrapText="1"/>
    </xf>
    <xf numFmtId="9" fontId="0" fillId="0" borderId="0" xfId="0" applyNumberFormat="1" applyAlignment="1">
      <alignment horizontal="center" vertical="center"/>
    </xf>
    <xf numFmtId="3" fontId="36" fillId="0" borderId="1" xfId="4" applyNumberFormat="1" applyFont="1" applyFill="1" applyBorder="1" applyAlignment="1">
      <alignment horizontal="center" vertical="center"/>
    </xf>
    <xf numFmtId="0" fontId="17" fillId="0" borderId="2" xfId="0" applyFont="1" applyFill="1" applyBorder="1"/>
    <xf numFmtId="165" fontId="20" fillId="7" borderId="21" xfId="4"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34" fillId="12" borderId="21" xfId="0" applyFont="1" applyFill="1" applyBorder="1" applyAlignment="1">
      <alignment vertical="center"/>
    </xf>
    <xf numFmtId="0" fontId="16" fillId="7" borderId="21" xfId="0" applyFont="1" applyFill="1" applyBorder="1" applyAlignment="1">
      <alignment horizontal="left" vertical="center" wrapText="1"/>
    </xf>
    <xf numFmtId="0" fontId="17"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7" fillId="0" borderId="1" xfId="0" applyFont="1" applyFill="1" applyBorder="1" applyAlignment="1">
      <alignment vertical="top" wrapText="1"/>
    </xf>
    <xf numFmtId="0" fontId="13" fillId="0" borderId="1" xfId="0" applyFont="1" applyFill="1" applyBorder="1" applyAlignment="1">
      <alignment horizontal="center" vertical="top" wrapText="1"/>
    </xf>
    <xf numFmtId="0" fontId="17" fillId="0" borderId="1" xfId="0" applyFont="1" applyBorder="1" applyAlignment="1">
      <alignment horizontal="center" vertical="top" wrapText="1"/>
    </xf>
    <xf numFmtId="0" fontId="17" fillId="12" borderId="1" xfId="0" applyFont="1" applyFill="1" applyBorder="1" applyAlignment="1">
      <alignment vertical="center" wrapText="1"/>
    </xf>
    <xf numFmtId="0" fontId="17" fillId="12" borderId="1" xfId="0" applyFont="1" applyFill="1" applyBorder="1" applyAlignment="1">
      <alignment vertical="top" wrapText="1"/>
    </xf>
    <xf numFmtId="0" fontId="17" fillId="0" borderId="1" xfId="0" applyFont="1" applyFill="1" applyBorder="1" applyAlignment="1">
      <alignment wrapText="1"/>
    </xf>
    <xf numFmtId="0" fontId="17" fillId="12" borderId="1" xfId="0" applyFont="1" applyFill="1" applyBorder="1" applyAlignment="1">
      <alignment wrapText="1"/>
    </xf>
    <xf numFmtId="0" fontId="13" fillId="0" borderId="1" xfId="0" applyFont="1" applyFill="1" applyBorder="1" applyAlignment="1">
      <alignment horizontal="center" wrapText="1"/>
    </xf>
    <xf numFmtId="0" fontId="18" fillId="0" borderId="8" xfId="0" applyFont="1" applyBorder="1" applyAlignment="1">
      <alignment horizontal="center" vertical="center" wrapText="1"/>
    </xf>
    <xf numFmtId="3" fontId="18" fillId="0" borderId="2" xfId="0" applyNumberFormat="1" applyFont="1" applyFill="1" applyBorder="1" applyAlignment="1">
      <alignment horizontal="center" vertical="center" wrapText="1"/>
    </xf>
    <xf numFmtId="3" fontId="18" fillId="0" borderId="2" xfId="0" applyNumberFormat="1" applyFont="1" applyBorder="1" applyAlignment="1">
      <alignment horizontal="center" vertical="center" wrapText="1"/>
    </xf>
    <xf numFmtId="3" fontId="18" fillId="0" borderId="10" xfId="0" applyNumberFormat="1" applyFont="1" applyBorder="1" applyAlignment="1">
      <alignment horizontal="center" vertical="center" wrapText="1"/>
    </xf>
    <xf numFmtId="0" fontId="19" fillId="0" borderId="27" xfId="0" applyFont="1" applyBorder="1" applyAlignment="1">
      <alignment horizontal="left" vertical="center" wrapText="1"/>
    </xf>
    <xf numFmtId="3" fontId="19" fillId="0" borderId="27" xfId="4" applyNumberFormat="1" applyFont="1" applyFill="1" applyBorder="1" applyAlignment="1">
      <alignment horizontal="center" vertical="center" wrapText="1"/>
    </xf>
    <xf numFmtId="41" fontId="19" fillId="0" borderId="14" xfId="4" applyNumberFormat="1" applyFont="1" applyBorder="1" applyAlignment="1">
      <alignment horizontal="center" vertical="center" wrapText="1"/>
    </xf>
    <xf numFmtId="0" fontId="17" fillId="0" borderId="2" xfId="0" applyFont="1" applyFill="1" applyBorder="1" applyAlignment="1">
      <alignment vertical="center" wrapText="1"/>
    </xf>
    <xf numFmtId="0" fontId="19" fillId="0" borderId="2" xfId="0" applyFont="1" applyBorder="1" applyAlignment="1">
      <alignment horizontal="center" vertical="center" wrapText="1"/>
    </xf>
    <xf numFmtId="41" fontId="19" fillId="0" borderId="10" xfId="4" applyNumberFormat="1" applyFont="1" applyBorder="1" applyAlignment="1">
      <alignment horizontal="center" vertical="center" wrapText="1"/>
    </xf>
    <xf numFmtId="41" fontId="20" fillId="7" borderId="22" xfId="4" applyNumberFormat="1" applyFont="1" applyFill="1" applyBorder="1" applyAlignment="1">
      <alignment horizontal="center" vertical="center" wrapText="1"/>
    </xf>
    <xf numFmtId="0" fontId="13" fillId="0" borderId="2" xfId="0" applyFont="1" applyFill="1" applyBorder="1" applyAlignment="1">
      <alignment horizontal="center" vertical="top" wrapText="1"/>
    </xf>
    <xf numFmtId="3" fontId="18" fillId="0" borderId="3" xfId="0" applyNumberFormat="1" applyFont="1" applyFill="1" applyBorder="1" applyAlignment="1">
      <alignment horizontal="center" vertical="center" wrapText="1"/>
    </xf>
    <xf numFmtId="3" fontId="18" fillId="0" borderId="3" xfId="0" applyNumberFormat="1" applyFont="1" applyBorder="1" applyAlignment="1">
      <alignment horizontal="center" vertical="center" wrapText="1"/>
    </xf>
    <xf numFmtId="0" fontId="16" fillId="0" borderId="26" xfId="0" applyFont="1" applyBorder="1" applyAlignment="1">
      <alignment horizontal="center" vertical="center"/>
    </xf>
    <xf numFmtId="3" fontId="20" fillId="7" borderId="21" xfId="0" applyNumberFormat="1" applyFont="1" applyFill="1" applyBorder="1" applyAlignment="1">
      <alignment horizontal="center" vertical="center" wrapText="1"/>
    </xf>
    <xf numFmtId="3" fontId="17" fillId="0" borderId="2" xfId="0" applyNumberFormat="1" applyFont="1" applyFill="1" applyBorder="1" applyAlignment="1">
      <alignment horizontal="center" vertical="center"/>
    </xf>
    <xf numFmtId="0" fontId="33" fillId="12" borderId="23" xfId="0" applyFont="1" applyFill="1" applyBorder="1" applyAlignment="1">
      <alignment horizontal="center"/>
    </xf>
    <xf numFmtId="0" fontId="15" fillId="12" borderId="21" xfId="0" applyFont="1" applyFill="1" applyBorder="1" applyAlignment="1"/>
    <xf numFmtId="0" fontId="15" fillId="12" borderId="21" xfId="0" applyFont="1" applyFill="1" applyBorder="1" applyAlignment="1">
      <alignment horizontal="center"/>
    </xf>
    <xf numFmtId="3" fontId="35" fillId="12" borderId="21" xfId="0" applyNumberFormat="1" applyFont="1" applyFill="1" applyBorder="1" applyAlignment="1">
      <alignment horizontal="center" vertical="center"/>
    </xf>
    <xf numFmtId="3" fontId="35" fillId="0" borderId="6" xfId="4" applyNumberFormat="1" applyFont="1" applyBorder="1" applyAlignment="1">
      <alignment horizontal="center" vertical="center"/>
    </xf>
    <xf numFmtId="3" fontId="35" fillId="0" borderId="2" xfId="4" applyNumberFormat="1" applyFont="1" applyBorder="1" applyAlignment="1">
      <alignment horizontal="center" vertical="center"/>
    </xf>
    <xf numFmtId="3" fontId="35" fillId="0" borderId="10" xfId="4" applyNumberFormat="1" applyFont="1" applyBorder="1" applyAlignment="1">
      <alignment horizontal="center" vertical="center"/>
    </xf>
    <xf numFmtId="3" fontId="35" fillId="0" borderId="2" xfId="0" applyNumberFormat="1" applyFont="1" applyBorder="1" applyAlignment="1">
      <alignment horizontal="center" vertical="center"/>
    </xf>
    <xf numFmtId="41" fontId="35" fillId="0" borderId="2" xfId="0" applyNumberFormat="1" applyFont="1" applyBorder="1" applyAlignment="1">
      <alignment horizontal="center" vertical="center"/>
    </xf>
    <xf numFmtId="3" fontId="14" fillId="11" borderId="18" xfId="0" applyNumberFormat="1" applyFont="1" applyFill="1" applyBorder="1" applyAlignment="1">
      <alignment horizontal="center" vertical="center" wrapText="1"/>
    </xf>
    <xf numFmtId="3" fontId="14" fillId="11" borderId="20" xfId="0" applyNumberFormat="1" applyFont="1" applyFill="1" applyBorder="1" applyAlignment="1">
      <alignment horizontal="center" vertical="center" wrapText="1"/>
    </xf>
    <xf numFmtId="3" fontId="14" fillId="11" borderId="52" xfId="0" applyNumberFormat="1" applyFont="1" applyFill="1" applyBorder="1" applyAlignment="1">
      <alignment horizontal="center" vertical="center" wrapText="1"/>
    </xf>
    <xf numFmtId="3" fontId="14" fillId="11" borderId="25" xfId="0" applyNumberFormat="1" applyFont="1" applyFill="1" applyBorder="1" applyAlignment="1">
      <alignment horizontal="center" vertical="center" wrapText="1"/>
    </xf>
    <xf numFmtId="0" fontId="44" fillId="0" borderId="5" xfId="0" applyFont="1" applyBorder="1" applyAlignment="1">
      <alignment wrapText="1"/>
    </xf>
    <xf numFmtId="3" fontId="33" fillId="0" borderId="14" xfId="4" applyNumberFormat="1" applyFont="1" applyBorder="1" applyAlignment="1">
      <alignment horizontal="center" vertical="center"/>
    </xf>
    <xf numFmtId="0" fontId="15" fillId="0" borderId="4" xfId="0" applyFont="1" applyFill="1" applyBorder="1" applyAlignment="1">
      <alignment wrapText="1"/>
    </xf>
    <xf numFmtId="0" fontId="15" fillId="0" borderId="3" xfId="0" applyFont="1" applyBorder="1"/>
    <xf numFmtId="0" fontId="15" fillId="0" borderId="30" xfId="0" applyFont="1" applyBorder="1"/>
    <xf numFmtId="3" fontId="35" fillId="0" borderId="53" xfId="4" applyNumberFormat="1" applyFont="1" applyBorder="1" applyAlignment="1">
      <alignment horizontal="center" vertical="center"/>
    </xf>
    <xf numFmtId="3" fontId="35" fillId="0" borderId="3" xfId="4" applyNumberFormat="1" applyFont="1" applyBorder="1" applyAlignment="1">
      <alignment horizontal="center" vertical="center"/>
    </xf>
    <xf numFmtId="41" fontId="35" fillId="0" borderId="3" xfId="4" applyNumberFormat="1" applyFont="1" applyBorder="1" applyAlignment="1">
      <alignment horizontal="center" vertical="center"/>
    </xf>
    <xf numFmtId="0" fontId="15" fillId="0" borderId="6" xfId="0" applyFont="1" applyFill="1" applyBorder="1" applyAlignment="1">
      <alignment wrapText="1"/>
    </xf>
    <xf numFmtId="0" fontId="15" fillId="0" borderId="2" xfId="0" applyFont="1" applyBorder="1"/>
    <xf numFmtId="0" fontId="44" fillId="0" borderId="5" xfId="0" applyFont="1" applyFill="1" applyBorder="1" applyAlignment="1">
      <alignment wrapText="1"/>
    </xf>
    <xf numFmtId="0" fontId="15" fillId="0" borderId="1" xfId="0" applyFont="1" applyBorder="1" applyAlignment="1">
      <alignment horizontal="center" vertical="center" wrapText="1"/>
    </xf>
    <xf numFmtId="3" fontId="35" fillId="0" borderId="10" xfId="0" applyNumberFormat="1" applyFont="1" applyFill="1" applyBorder="1" applyAlignment="1">
      <alignment horizontal="center" vertical="center"/>
    </xf>
    <xf numFmtId="3" fontId="35" fillId="0" borderId="1" xfId="0" applyNumberFormat="1" applyFont="1" applyBorder="1" applyAlignment="1">
      <alignment horizontal="center" vertical="center"/>
    </xf>
    <xf numFmtId="166" fontId="9" fillId="4" borderId="1" xfId="3" applyNumberFormat="1" applyBorder="1" applyAlignment="1">
      <alignment horizontal="center" vertical="center"/>
    </xf>
    <xf numFmtId="0" fontId="18" fillId="10" borderId="23" xfId="0" applyFont="1" applyFill="1" applyBorder="1" applyAlignment="1">
      <alignment horizontal="center" vertical="center" wrapText="1"/>
    </xf>
    <xf numFmtId="0" fontId="18" fillId="0" borderId="26" xfId="0" applyFont="1" applyBorder="1" applyAlignment="1">
      <alignment horizontal="center" vertical="center" wrapText="1"/>
    </xf>
    <xf numFmtId="0" fontId="18" fillId="0" borderId="5" xfId="0" applyFont="1" applyBorder="1" applyAlignment="1">
      <alignment horizontal="center" vertical="center" wrapText="1"/>
    </xf>
    <xf numFmtId="0" fontId="17" fillId="0" borderId="1" xfId="0" applyFont="1" applyBorder="1" applyAlignment="1">
      <alignment horizontal="center" vertical="center" wrapText="1"/>
    </xf>
    <xf numFmtId="0" fontId="19" fillId="0" borderId="27" xfId="0" applyFont="1" applyBorder="1" applyAlignment="1">
      <alignment horizontal="left" vertical="center" wrapText="1"/>
    </xf>
    <xf numFmtId="0" fontId="18" fillId="10" borderId="21" xfId="0" applyFont="1" applyFill="1" applyBorder="1" applyAlignment="1">
      <alignment horizontal="center" vertical="center" wrapText="1"/>
    </xf>
    <xf numFmtId="0" fontId="27" fillId="8" borderId="0" xfId="0" applyFont="1" applyFill="1" applyBorder="1" applyAlignment="1">
      <alignment horizontal="center" vertical="center" wrapText="1"/>
    </xf>
    <xf numFmtId="0" fontId="27" fillId="8" borderId="35"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6" fillId="10" borderId="1" xfId="0" applyFont="1" applyFill="1" applyBorder="1" applyAlignment="1">
      <alignment horizontal="left" vertical="center" wrapText="1"/>
    </xf>
    <xf numFmtId="0" fontId="19" fillId="10" borderId="1" xfId="0" applyFont="1" applyFill="1" applyBorder="1" applyAlignment="1">
      <alignment horizontal="left" vertical="center" wrapText="1"/>
    </xf>
    <xf numFmtId="0" fontId="19" fillId="10" borderId="1" xfId="0" applyFont="1" applyFill="1" applyBorder="1" applyAlignment="1">
      <alignment horizontal="center" vertical="center" wrapText="1"/>
    </xf>
    <xf numFmtId="3" fontId="19" fillId="10" borderId="1" xfId="0" applyNumberFormat="1" applyFont="1" applyFill="1" applyBorder="1" applyAlignment="1">
      <alignment horizontal="center" vertical="center" wrapText="1"/>
    </xf>
    <xf numFmtId="3" fontId="19" fillId="10" borderId="1" xfId="4" applyNumberFormat="1" applyFont="1" applyFill="1" applyBorder="1" applyAlignment="1">
      <alignment horizontal="center" vertical="center" wrapText="1"/>
    </xf>
    <xf numFmtId="3" fontId="19" fillId="10" borderId="14" xfId="4" applyNumberFormat="1" applyFont="1" applyFill="1" applyBorder="1" applyAlignment="1">
      <alignment horizontal="center" vertical="center" wrapText="1"/>
    </xf>
    <xf numFmtId="0" fontId="48" fillId="12" borderId="55" xfId="0" applyNumberFormat="1" applyFont="1" applyFill="1" applyBorder="1" applyAlignment="1">
      <alignment horizontal="center" vertical="center" wrapText="1"/>
    </xf>
    <xf numFmtId="0" fontId="48" fillId="12" borderId="8" xfId="0" applyNumberFormat="1" applyFont="1" applyFill="1" applyBorder="1" applyAlignment="1">
      <alignment vertical="center" wrapText="1"/>
    </xf>
    <xf numFmtId="14" fontId="48" fillId="12" borderId="55" xfId="0" applyNumberFormat="1" applyFont="1" applyFill="1" applyBorder="1" applyAlignment="1">
      <alignment horizontal="center" vertical="center" wrapText="1"/>
    </xf>
    <xf numFmtId="0" fontId="48" fillId="0" borderId="55" xfId="0" applyNumberFormat="1" applyFont="1" applyFill="1" applyBorder="1" applyAlignment="1">
      <alignment horizontal="center" vertical="center" wrapText="1"/>
    </xf>
    <xf numFmtId="0" fontId="48" fillId="0" borderId="8" xfId="0" applyNumberFormat="1" applyFont="1" applyFill="1" applyBorder="1" applyAlignment="1">
      <alignment vertical="center" wrapText="1"/>
    </xf>
    <xf numFmtId="14" fontId="48" fillId="0" borderId="55" xfId="0" applyNumberFormat="1" applyFont="1" applyFill="1" applyBorder="1" applyAlignment="1">
      <alignment horizontal="center" vertical="center" wrapText="1"/>
    </xf>
    <xf numFmtId="0" fontId="18" fillId="10" borderId="21" xfId="0" applyFont="1" applyFill="1" applyBorder="1" applyAlignment="1">
      <alignment horizontal="left" vertical="center" wrapText="1"/>
    </xf>
    <xf numFmtId="3" fontId="20" fillId="10" borderId="21" xfId="4" applyNumberFormat="1" applyFont="1" applyFill="1" applyBorder="1" applyAlignment="1">
      <alignment horizontal="center" vertical="center" wrapText="1"/>
    </xf>
    <xf numFmtId="41" fontId="20" fillId="10" borderId="22" xfId="4" applyNumberFormat="1" applyFont="1" applyFill="1" applyBorder="1" applyAlignment="1">
      <alignment horizontal="center" vertical="center" wrapText="1"/>
    </xf>
    <xf numFmtId="0" fontId="49" fillId="10" borderId="21" xfId="0" applyFont="1" applyFill="1" applyBorder="1" applyAlignment="1">
      <alignment horizontal="left" vertical="center" wrapText="1"/>
    </xf>
    <xf numFmtId="0" fontId="18" fillId="10" borderId="1" xfId="0" applyFont="1" applyFill="1" applyBorder="1" applyAlignment="1">
      <alignment horizontal="center" vertical="center" wrapText="1"/>
    </xf>
    <xf numFmtId="0" fontId="49" fillId="7" borderId="21" xfId="0" applyFont="1" applyFill="1" applyBorder="1" applyAlignment="1">
      <alignment horizontal="left" vertical="center" wrapText="1"/>
    </xf>
    <xf numFmtId="0" fontId="4" fillId="10" borderId="1" xfId="0" applyFont="1" applyFill="1" applyBorder="1" applyAlignment="1">
      <alignment horizontal="left" vertical="center" wrapText="1"/>
    </xf>
    <xf numFmtId="0" fontId="17" fillId="0" borderId="0" xfId="0" applyFont="1" applyAlignment="1">
      <alignment vertical="center" wrapText="1"/>
    </xf>
    <xf numFmtId="0" fontId="18" fillId="10" borderId="1" xfId="0" applyFont="1" applyFill="1" applyBorder="1" applyAlignment="1">
      <alignment horizontal="left" vertical="center" wrapText="1"/>
    </xf>
    <xf numFmtId="0" fontId="17" fillId="10" borderId="1" xfId="0" applyFont="1" applyFill="1" applyBorder="1" applyAlignment="1">
      <alignment horizontal="center"/>
    </xf>
    <xf numFmtId="3" fontId="19" fillId="10" borderId="14"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16" fillId="10" borderId="5" xfId="0" applyFont="1" applyFill="1" applyBorder="1" applyAlignment="1">
      <alignment horizontal="center" vertical="center"/>
    </xf>
    <xf numFmtId="3" fontId="17" fillId="10" borderId="1" xfId="0" applyNumberFormat="1" applyFont="1" applyFill="1" applyBorder="1" applyAlignment="1">
      <alignment horizontal="center" vertical="center"/>
    </xf>
    <xf numFmtId="41" fontId="19" fillId="10" borderId="14" xfId="4" applyNumberFormat="1" applyFont="1" applyFill="1" applyBorder="1" applyAlignment="1">
      <alignment horizontal="center" vertical="center" wrapText="1"/>
    </xf>
    <xf numFmtId="3" fontId="17" fillId="10" borderId="14" xfId="0" applyNumberFormat="1" applyFont="1" applyFill="1" applyBorder="1" applyAlignment="1">
      <alignment horizontal="center" vertical="center"/>
    </xf>
    <xf numFmtId="0" fontId="17" fillId="0" borderId="1" xfId="0" applyFont="1" applyBorder="1" applyAlignment="1">
      <alignment vertical="center" wrapText="1"/>
    </xf>
    <xf numFmtId="0" fontId="16" fillId="0" borderId="6" xfId="0" applyFont="1" applyBorder="1" applyAlignment="1">
      <alignment horizontal="center" vertical="center"/>
    </xf>
    <xf numFmtId="41" fontId="20" fillId="7" borderId="21" xfId="4" applyNumberFormat="1" applyFont="1" applyFill="1" applyBorder="1" applyAlignment="1">
      <alignment horizontal="center" vertical="center" wrapText="1"/>
    </xf>
    <xf numFmtId="0" fontId="17" fillId="5" borderId="0" xfId="0" applyFont="1" applyFill="1"/>
    <xf numFmtId="0" fontId="50" fillId="0" borderId="1" xfId="0" applyFont="1" applyFill="1" applyBorder="1" applyAlignment="1">
      <alignment horizontal="center" vertical="center"/>
    </xf>
    <xf numFmtId="0" fontId="18" fillId="7" borderId="56" xfId="0" applyFont="1" applyFill="1" applyBorder="1" applyAlignment="1">
      <alignment horizontal="center" vertical="center" wrapText="1"/>
    </xf>
    <xf numFmtId="0" fontId="51" fillId="0" borderId="1" xfId="0" applyFont="1" applyBorder="1" applyAlignment="1">
      <alignment vertical="center"/>
    </xf>
    <xf numFmtId="3" fontId="19" fillId="5" borderId="27" xfId="0" applyNumberFormat="1" applyFont="1" applyFill="1" applyBorder="1" applyAlignment="1">
      <alignment horizontal="center" vertical="center" wrapText="1"/>
    </xf>
    <xf numFmtId="3" fontId="19" fillId="5" borderId="27" xfId="4" applyNumberFormat="1" applyFont="1" applyFill="1" applyBorder="1" applyAlignment="1">
      <alignment horizontal="center" vertical="center" wrapText="1"/>
    </xf>
    <xf numFmtId="0" fontId="44" fillId="0" borderId="5" xfId="0" applyFont="1" applyBorder="1" applyAlignment="1">
      <alignment vertical="center" wrapText="1"/>
    </xf>
    <xf numFmtId="3" fontId="20" fillId="7" borderId="57" xfId="4" applyNumberFormat="1" applyFont="1" applyFill="1" applyBorder="1" applyAlignment="1">
      <alignment horizontal="center" vertical="center" wrapText="1"/>
    </xf>
    <xf numFmtId="3" fontId="19" fillId="0" borderId="3" xfId="4" applyNumberFormat="1" applyFont="1" applyBorder="1" applyAlignment="1">
      <alignment horizontal="center" vertical="center" wrapText="1"/>
    </xf>
    <xf numFmtId="3" fontId="20" fillId="7" borderId="1" xfId="4" applyNumberFormat="1" applyFont="1" applyFill="1" applyBorder="1" applyAlignment="1">
      <alignment horizontal="center" vertical="center" wrapText="1"/>
    </xf>
    <xf numFmtId="41" fontId="20" fillId="7" borderId="21" xfId="0" applyNumberFormat="1" applyFont="1" applyFill="1" applyBorder="1" applyAlignment="1">
      <alignment horizontal="center" vertical="center" wrapText="1"/>
    </xf>
    <xf numFmtId="41" fontId="13" fillId="0" borderId="14" xfId="4" applyNumberFormat="1" applyFont="1" applyBorder="1" applyAlignment="1">
      <alignment horizontal="center" vertical="center" wrapText="1"/>
    </xf>
    <xf numFmtId="0" fontId="44" fillId="0" borderId="4" xfId="0" applyFont="1" applyBorder="1" applyAlignment="1">
      <alignment wrapText="1"/>
    </xf>
    <xf numFmtId="0" fontId="15" fillId="0" borderId="3" xfId="0" applyFont="1" applyBorder="1" applyAlignment="1">
      <alignment horizontal="center" vertical="center"/>
    </xf>
    <xf numFmtId="0" fontId="12" fillId="0" borderId="3" xfId="0" applyFont="1" applyBorder="1" applyAlignment="1">
      <alignment horizontal="center" vertical="center" wrapText="1"/>
    </xf>
    <xf numFmtId="3" fontId="12" fillId="0" borderId="3" xfId="4" applyNumberFormat="1" applyFont="1" applyFill="1" applyBorder="1" applyAlignment="1">
      <alignment horizontal="center" vertical="center" wrapText="1"/>
    </xf>
    <xf numFmtId="0" fontId="33" fillId="0" borderId="2" xfId="0" applyFont="1" applyBorder="1" applyAlignment="1">
      <alignment horizontal="center"/>
    </xf>
    <xf numFmtId="0" fontId="44" fillId="0" borderId="5" xfId="0" applyFont="1" applyFill="1" applyBorder="1" applyAlignment="1">
      <alignment vertical="center" wrapText="1"/>
    </xf>
    <xf numFmtId="3" fontId="16" fillId="5" borderId="27" xfId="0" applyNumberFormat="1" applyFont="1" applyFill="1" applyBorder="1" applyAlignment="1">
      <alignment horizontal="center" vertical="center"/>
    </xf>
    <xf numFmtId="3" fontId="17" fillId="5" borderId="27" xfId="0" applyNumberFormat="1" applyFont="1" applyFill="1" applyBorder="1" applyAlignment="1">
      <alignment horizontal="center" vertical="center"/>
    </xf>
    <xf numFmtId="0" fontId="5" fillId="0" borderId="27" xfId="0" applyFont="1" applyBorder="1" applyAlignment="1">
      <alignment horizontal="left" vertical="center" wrapText="1"/>
    </xf>
    <xf numFmtId="0" fontId="19" fillId="0" borderId="27" xfId="0" applyFont="1" applyBorder="1" applyAlignment="1">
      <alignment horizontal="left" vertical="center" wrapText="1"/>
    </xf>
    <xf numFmtId="0" fontId="18" fillId="0" borderId="8" xfId="0" applyFont="1" applyFill="1" applyBorder="1" applyAlignment="1">
      <alignment horizontal="center" vertical="center" wrapText="1"/>
    </xf>
    <xf numFmtId="0" fontId="18" fillId="0" borderId="2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7" xfId="0" applyFont="1" applyBorder="1" applyAlignment="1">
      <alignment horizontal="center" vertical="center" wrapText="1"/>
    </xf>
    <xf numFmtId="3" fontId="18"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wrapText="1"/>
    </xf>
    <xf numFmtId="3" fontId="18" fillId="0" borderId="27" xfId="0" applyNumberFormat="1" applyFont="1" applyBorder="1" applyAlignment="1">
      <alignment horizontal="center" vertical="center" wrapText="1"/>
    </xf>
    <xf numFmtId="0" fontId="16" fillId="0" borderId="27"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1" xfId="0" applyFont="1" applyBorder="1" applyAlignment="1">
      <alignment horizontal="center" vertical="center"/>
    </xf>
    <xf numFmtId="0" fontId="17" fillId="0" borderId="27" xfId="0" applyFont="1" applyBorder="1" applyAlignment="1">
      <alignment horizontal="center" vertical="center"/>
    </xf>
    <xf numFmtId="0" fontId="5" fillId="0" borderId="1" xfId="0" applyFont="1" applyBorder="1" applyAlignment="1">
      <alignment horizontal="center" vertical="center" wrapText="1"/>
    </xf>
    <xf numFmtId="0" fontId="4" fillId="0" borderId="3" xfId="0" applyFont="1" applyBorder="1" applyAlignment="1">
      <alignment horizontal="center" vertical="center" wrapText="1"/>
    </xf>
    <xf numFmtId="0" fontId="18" fillId="11" borderId="1" xfId="0" applyFont="1" applyFill="1" applyBorder="1" applyAlignment="1">
      <alignment horizontal="center" vertical="center" wrapText="1"/>
    </xf>
    <xf numFmtId="0" fontId="18" fillId="11" borderId="3"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18" fillId="10" borderId="21" xfId="0" applyFont="1" applyFill="1" applyBorder="1" applyAlignment="1">
      <alignment horizontal="center" vertical="center" wrapText="1"/>
    </xf>
    <xf numFmtId="0" fontId="18" fillId="10" borderId="22" xfId="0" applyFont="1" applyFill="1" applyBorder="1" applyAlignment="1">
      <alignment horizontal="center" vertical="center" wrapText="1"/>
    </xf>
    <xf numFmtId="0" fontId="20" fillId="5" borderId="23" xfId="0" applyFont="1" applyFill="1" applyBorder="1" applyAlignment="1">
      <alignment horizontal="center" vertical="center" wrapText="1"/>
    </xf>
    <xf numFmtId="0" fontId="20" fillId="5" borderId="21" xfId="0" applyFont="1" applyFill="1" applyBorder="1" applyAlignment="1">
      <alignment horizontal="center" vertical="center" wrapText="1"/>
    </xf>
    <xf numFmtId="0" fontId="20" fillId="5" borderId="22" xfId="0" applyFont="1" applyFill="1" applyBorder="1" applyAlignment="1">
      <alignment horizontal="center" vertical="center" wrapText="1"/>
    </xf>
    <xf numFmtId="0" fontId="18" fillId="0" borderId="27" xfId="0" applyFont="1" applyFill="1" applyBorder="1" applyAlignment="1">
      <alignment horizontal="center" vertical="center" wrapText="1"/>
    </xf>
    <xf numFmtId="3" fontId="16" fillId="0" borderId="1" xfId="0" applyNumberFormat="1" applyFont="1" applyBorder="1" applyAlignment="1">
      <alignment horizontal="center" vertical="center"/>
    </xf>
    <xf numFmtId="3" fontId="18" fillId="0" borderId="8"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18" fillId="11"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20" fillId="10" borderId="23" xfId="0" applyFont="1" applyFill="1" applyBorder="1" applyAlignment="1">
      <alignment horizontal="center" vertical="center" wrapText="1"/>
    </xf>
    <xf numFmtId="0" fontId="20" fillId="10" borderId="21" xfId="0" applyFont="1" applyFill="1" applyBorder="1" applyAlignment="1">
      <alignment horizontal="center" vertical="center" wrapText="1"/>
    </xf>
    <xf numFmtId="0" fontId="20" fillId="10" borderId="22" xfId="0" applyFont="1" applyFill="1" applyBorder="1" applyAlignment="1">
      <alignment horizontal="center" vertical="center" wrapText="1"/>
    </xf>
    <xf numFmtId="0" fontId="4" fillId="0" borderId="27" xfId="0" applyFont="1" applyBorder="1" applyAlignment="1">
      <alignment horizontal="left" vertical="center" wrapText="1"/>
    </xf>
    <xf numFmtId="3" fontId="18" fillId="0" borderId="28" xfId="0" applyNumberFormat="1" applyFont="1" applyBorder="1" applyAlignment="1">
      <alignment horizontal="center" vertical="center" wrapText="1"/>
    </xf>
    <xf numFmtId="3" fontId="18" fillId="0" borderId="14" xfId="0" applyNumberFormat="1" applyFont="1" applyBorder="1" applyAlignment="1">
      <alignment horizontal="center" vertical="center" wrapText="1"/>
    </xf>
    <xf numFmtId="0" fontId="3" fillId="7" borderId="21" xfId="0" applyFont="1" applyFill="1" applyBorder="1" applyAlignment="1">
      <alignment horizontal="left" vertical="center" wrapText="1"/>
    </xf>
    <xf numFmtId="0" fontId="16" fillId="7" borderId="21" xfId="0" applyFont="1" applyFill="1" applyBorder="1" applyAlignment="1">
      <alignment horizontal="left" vertical="center" wrapText="1"/>
    </xf>
    <xf numFmtId="0" fontId="17"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13" fillId="0" borderId="21" xfId="0" applyFont="1" applyBorder="1" applyAlignment="1">
      <alignment vertical="center" wrapText="1"/>
    </xf>
    <xf numFmtId="0" fontId="13" fillId="0" borderId="22" xfId="0" applyFont="1" applyBorder="1" applyAlignment="1">
      <alignmen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8" xfId="0" applyFont="1" applyBorder="1" applyAlignment="1">
      <alignment horizontal="center" vertical="center"/>
    </xf>
    <xf numFmtId="0" fontId="17" fillId="0" borderId="21" xfId="0" applyFont="1" applyBorder="1" applyAlignment="1"/>
    <xf numFmtId="0" fontId="17" fillId="0" borderId="22" xfId="0" applyFont="1" applyBorder="1" applyAlignment="1"/>
    <xf numFmtId="0" fontId="14" fillId="0" borderId="52" xfId="0" applyFont="1" applyBorder="1" applyAlignment="1">
      <alignment horizontal="center" vertical="center" wrapText="1"/>
    </xf>
    <xf numFmtId="0" fontId="14" fillId="11" borderId="52" xfId="0" applyFont="1" applyFill="1" applyBorder="1" applyAlignment="1">
      <alignment horizontal="center" vertical="center" wrapText="1"/>
    </xf>
    <xf numFmtId="3" fontId="14" fillId="0" borderId="20" xfId="0" applyNumberFormat="1" applyFont="1" applyBorder="1" applyAlignment="1">
      <alignment horizontal="center" vertical="center" wrapText="1"/>
    </xf>
    <xf numFmtId="3" fontId="14" fillId="0" borderId="24" xfId="0" applyNumberFormat="1" applyFont="1" applyBorder="1" applyAlignment="1">
      <alignment horizontal="center" vertical="center" wrapText="1"/>
    </xf>
    <xf numFmtId="3" fontId="14" fillId="0" borderId="29" xfId="0" applyNumberFormat="1" applyFont="1" applyBorder="1" applyAlignment="1">
      <alignment horizontal="center" vertical="center" wrapText="1"/>
    </xf>
    <xf numFmtId="3" fontId="14" fillId="0" borderId="31" xfId="0" applyNumberFormat="1" applyFont="1" applyBorder="1" applyAlignment="1">
      <alignment horizontal="center" vertical="center" wrapText="1"/>
    </xf>
    <xf numFmtId="0" fontId="39" fillId="0" borderId="20" xfId="0" applyFont="1" applyBorder="1" applyAlignment="1">
      <alignment vertical="center" wrapText="1"/>
    </xf>
    <xf numFmtId="0" fontId="45" fillId="0" borderId="24" xfId="0" applyFont="1" applyBorder="1" applyAlignment="1">
      <alignment vertical="center" wrapText="1"/>
    </xf>
    <xf numFmtId="0" fontId="45" fillId="0" borderId="25" xfId="0" applyFont="1" applyBorder="1" applyAlignment="1">
      <alignment vertical="center" wrapText="1"/>
    </xf>
    <xf numFmtId="0" fontId="43" fillId="11" borderId="52" xfId="0" applyFont="1" applyFill="1" applyBorder="1" applyAlignment="1">
      <alignment horizontal="center" vertical="center" wrapText="1"/>
    </xf>
    <xf numFmtId="0" fontId="44" fillId="11" borderId="52" xfId="0" applyFont="1" applyFill="1" applyBorder="1" applyAlignment="1">
      <alignment horizontal="center" vertical="center" wrapText="1"/>
    </xf>
    <xf numFmtId="3" fontId="14" fillId="0" borderId="18" xfId="0" applyNumberFormat="1" applyFont="1" applyFill="1" applyBorder="1" applyAlignment="1">
      <alignment horizontal="center" vertical="center" wrapText="1"/>
    </xf>
    <xf numFmtId="3" fontId="14" fillId="0" borderId="16" xfId="0" applyNumberFormat="1" applyFont="1" applyFill="1" applyBorder="1" applyAlignment="1">
      <alignment horizontal="center" vertical="center" wrapText="1"/>
    </xf>
    <xf numFmtId="3" fontId="14" fillId="11" borderId="20" xfId="0" applyNumberFormat="1" applyFont="1" applyFill="1" applyBorder="1" applyAlignment="1">
      <alignment horizontal="center" vertical="center" wrapText="1"/>
    </xf>
    <xf numFmtId="3" fontId="14" fillId="11" borderId="24" xfId="0" applyNumberFormat="1" applyFont="1" applyFill="1" applyBorder="1" applyAlignment="1">
      <alignment horizontal="center" vertical="center" wrapText="1"/>
    </xf>
    <xf numFmtId="3" fontId="14" fillId="11" borderId="25" xfId="0" applyNumberFormat="1" applyFont="1" applyFill="1" applyBorder="1" applyAlignment="1">
      <alignment horizontal="center" vertical="center" wrapText="1"/>
    </xf>
    <xf numFmtId="3" fontId="14" fillId="11" borderId="34" xfId="0" applyNumberFormat="1" applyFont="1" applyFill="1" applyBorder="1" applyAlignment="1">
      <alignment horizontal="center" vertical="center" wrapText="1"/>
    </xf>
    <xf numFmtId="3" fontId="14" fillId="11" borderId="32" xfId="0" applyNumberFormat="1" applyFont="1" applyFill="1" applyBorder="1" applyAlignment="1">
      <alignment horizontal="center" vertical="center" wrapText="1"/>
    </xf>
    <xf numFmtId="3" fontId="14" fillId="11" borderId="33" xfId="0" applyNumberFormat="1" applyFont="1" applyFill="1" applyBorder="1" applyAlignment="1">
      <alignment horizontal="center" vertical="center" wrapText="1"/>
    </xf>
    <xf numFmtId="3" fontId="14" fillId="11" borderId="11" xfId="0" applyNumberFormat="1" applyFont="1" applyFill="1" applyBorder="1" applyAlignment="1">
      <alignment horizontal="center" vertical="center" wrapText="1"/>
    </xf>
    <xf numFmtId="3" fontId="14" fillId="11" borderId="19" xfId="0" applyNumberFormat="1" applyFont="1" applyFill="1" applyBorder="1" applyAlignment="1">
      <alignment horizontal="center" vertical="center" wrapText="1"/>
    </xf>
    <xf numFmtId="3" fontId="14" fillId="11" borderId="13" xfId="0" applyNumberFormat="1"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29" fillId="0" borderId="20" xfId="0" applyFont="1" applyBorder="1" applyAlignment="1">
      <alignment wrapText="1"/>
    </xf>
    <xf numFmtId="0" fontId="29" fillId="0" borderId="24" xfId="0" applyFont="1" applyBorder="1" applyAlignment="1">
      <alignment wrapText="1"/>
    </xf>
    <xf numFmtId="0" fontId="29" fillId="0" borderId="25" xfId="0" applyFont="1" applyBorder="1" applyAlignment="1">
      <alignment wrapText="1"/>
    </xf>
    <xf numFmtId="0" fontId="41" fillId="0" borderId="20" xfId="0" applyFont="1" applyBorder="1" applyAlignment="1">
      <alignment vertical="center" wrapText="1"/>
    </xf>
    <xf numFmtId="0" fontId="42" fillId="0" borderId="24" xfId="0" applyFont="1" applyBorder="1" applyAlignment="1">
      <alignment vertical="center" wrapText="1"/>
    </xf>
    <xf numFmtId="0" fontId="42" fillId="0" borderId="25" xfId="0" applyFont="1" applyBorder="1" applyAlignment="1">
      <alignment vertical="center" wrapText="1"/>
    </xf>
    <xf numFmtId="0" fontId="14" fillId="0" borderId="20" xfId="0" applyFont="1" applyBorder="1" applyAlignment="1">
      <alignment horizontal="center" vertical="center" wrapText="1"/>
    </xf>
    <xf numFmtId="0" fontId="14" fillId="0" borderId="25" xfId="0" applyFont="1" applyBorder="1" applyAlignment="1">
      <alignment horizontal="center" vertical="center" wrapText="1"/>
    </xf>
    <xf numFmtId="0" fontId="41" fillId="0" borderId="20" xfId="0" applyFont="1" applyBorder="1" applyAlignment="1">
      <alignment horizontal="left" vertical="center" wrapText="1"/>
    </xf>
    <xf numFmtId="0" fontId="42" fillId="0" borderId="24" xfId="0" applyFont="1" applyBorder="1" applyAlignment="1">
      <alignment horizontal="left" vertical="center"/>
    </xf>
    <xf numFmtId="0" fontId="42" fillId="0" borderId="25" xfId="0" applyFont="1" applyBorder="1" applyAlignment="1">
      <alignment horizontal="left" vertical="center"/>
    </xf>
    <xf numFmtId="3" fontId="14" fillId="0" borderId="25" xfId="0" applyNumberFormat="1" applyFont="1" applyBorder="1" applyAlignment="1">
      <alignment horizontal="center" vertical="center" wrapText="1"/>
    </xf>
    <xf numFmtId="3" fontId="15" fillId="0" borderId="24" xfId="0" applyNumberFormat="1" applyFont="1" applyBorder="1" applyAlignment="1">
      <alignment horizontal="center" vertical="center"/>
    </xf>
    <xf numFmtId="3" fontId="14" fillId="0" borderId="34" xfId="0" applyNumberFormat="1" applyFont="1" applyBorder="1" applyAlignment="1">
      <alignment horizontal="center" vertical="center" wrapText="1"/>
    </xf>
    <xf numFmtId="3" fontId="14" fillId="0" borderId="32" xfId="0" applyNumberFormat="1" applyFont="1" applyBorder="1" applyAlignment="1">
      <alignment horizontal="center" vertical="center" wrapText="1"/>
    </xf>
    <xf numFmtId="3" fontId="14" fillId="0" borderId="33" xfId="0" applyNumberFormat="1" applyFont="1" applyBorder="1" applyAlignment="1">
      <alignment horizontal="center" vertical="center" wrapText="1"/>
    </xf>
    <xf numFmtId="0" fontId="35" fillId="13" borderId="58" xfId="0" applyFont="1" applyFill="1" applyBorder="1" applyAlignment="1">
      <alignment vertical="center" wrapText="1"/>
    </xf>
    <xf numFmtId="0" fontId="15" fillId="13" borderId="51" xfId="0" applyFont="1" applyFill="1" applyBorder="1" applyAlignment="1">
      <alignment vertical="center"/>
    </xf>
    <xf numFmtId="0" fontId="15" fillId="13" borderId="59" xfId="0" applyFont="1" applyFill="1" applyBorder="1" applyAlignment="1">
      <alignment vertical="center"/>
    </xf>
    <xf numFmtId="0" fontId="40" fillId="9" borderId="44" xfId="0" applyFont="1" applyFill="1" applyBorder="1" applyAlignment="1">
      <alignment horizontal="left" vertical="center" wrapText="1"/>
    </xf>
    <xf numFmtId="0" fontId="40" fillId="9" borderId="38" xfId="0" applyFont="1" applyFill="1" applyBorder="1" applyAlignment="1">
      <alignment horizontal="left" vertical="center" wrapText="1"/>
    </xf>
    <xf numFmtId="3" fontId="28" fillId="9" borderId="42" xfId="0" applyNumberFormat="1" applyFont="1" applyFill="1" applyBorder="1" applyAlignment="1">
      <alignment horizontal="center" vertical="center" wrapText="1"/>
    </xf>
    <xf numFmtId="3" fontId="28" fillId="9" borderId="43" xfId="0" applyNumberFormat="1" applyFont="1" applyFill="1" applyBorder="1" applyAlignment="1">
      <alignment horizontal="center" vertical="center" wrapText="1"/>
    </xf>
    <xf numFmtId="0" fontId="25" fillId="0" borderId="47" xfId="0" applyFont="1" applyBorder="1" applyAlignment="1">
      <alignment horizontal="center" vertical="center" wrapText="1"/>
    </xf>
    <xf numFmtId="0" fontId="25" fillId="0" borderId="48" xfId="0" applyFont="1" applyBorder="1" applyAlignment="1">
      <alignment horizontal="center" vertical="center" wrapText="1"/>
    </xf>
    <xf numFmtId="3" fontId="25" fillId="0" borderId="47" xfId="0" applyNumberFormat="1" applyFont="1" applyBorder="1" applyAlignment="1">
      <alignment horizontal="center" vertical="center" wrapText="1"/>
    </xf>
    <xf numFmtId="3" fontId="25" fillId="0" borderId="48" xfId="0" applyNumberFormat="1" applyFont="1" applyBorder="1" applyAlignment="1">
      <alignment horizontal="center" vertical="center" wrapText="1"/>
    </xf>
    <xf numFmtId="3" fontId="31" fillId="0" borderId="49" xfId="0" applyNumberFormat="1" applyFont="1" applyBorder="1" applyAlignment="1">
      <alignment horizontal="center" vertical="center" wrapText="1"/>
    </xf>
    <xf numFmtId="3" fontId="31" fillId="0" borderId="50" xfId="0" applyNumberFormat="1" applyFont="1" applyBorder="1" applyAlignment="1">
      <alignment horizontal="center" vertical="center" wrapText="1"/>
    </xf>
    <xf numFmtId="0" fontId="30" fillId="0" borderId="0" xfId="0" applyFont="1" applyBorder="1" applyAlignment="1">
      <alignment horizontal="center" vertical="center"/>
    </xf>
    <xf numFmtId="0" fontId="27" fillId="8" borderId="34" xfId="0" applyFont="1" applyFill="1" applyBorder="1" applyAlignment="1">
      <alignment horizontal="justify" vertical="center" wrapText="1"/>
    </xf>
    <xf numFmtId="0" fontId="27" fillId="8" borderId="7" xfId="0" applyFont="1" applyFill="1" applyBorder="1" applyAlignment="1">
      <alignment horizontal="justify" vertical="center" wrapText="1"/>
    </xf>
    <xf numFmtId="0" fontId="27" fillId="8" borderId="45" xfId="0" applyFont="1" applyFill="1" applyBorder="1" applyAlignment="1">
      <alignment horizontal="justify" vertical="center" wrapText="1"/>
    </xf>
    <xf numFmtId="0" fontId="27" fillId="8" borderId="32" xfId="0" applyFont="1" applyFill="1" applyBorder="1" applyAlignment="1">
      <alignment horizontal="center" vertical="center" wrapText="1"/>
    </xf>
    <xf numFmtId="0" fontId="27" fillId="8" borderId="0" xfId="0" applyFont="1" applyFill="1" applyBorder="1" applyAlignment="1">
      <alignment horizontal="center" vertical="center" wrapText="1"/>
    </xf>
    <xf numFmtId="0" fontId="27" fillId="8" borderId="35" xfId="0" applyFont="1" applyFill="1" applyBorder="1" applyAlignment="1">
      <alignment horizontal="center" vertical="center" wrapText="1"/>
    </xf>
    <xf numFmtId="0" fontId="40" fillId="9" borderId="46" xfId="0" applyFont="1" applyFill="1" applyBorder="1" applyAlignment="1">
      <alignment horizontal="left" vertical="center" wrapText="1"/>
    </xf>
  </cellXfs>
  <cellStyles count="15">
    <cellStyle name="Accent2" xfId="1" builtinId="33"/>
    <cellStyle name="Accent5" xfId="2" builtinId="45"/>
    <cellStyle name="Accent6" xfId="3" builtinId="49"/>
    <cellStyle name="Comma" xfId="4" builtinId="3"/>
    <cellStyle name="Comma 3" xfId="5"/>
    <cellStyle name="Comma 5" xfId="6"/>
    <cellStyle name="Normal" xfId="0" builtinId="0"/>
    <cellStyle name="Normal 113" xfId="7"/>
    <cellStyle name="Normal 117" xfId="8"/>
    <cellStyle name="Normal 127" xfId="9"/>
    <cellStyle name="Normal 3" xfId="10"/>
    <cellStyle name="Normal 3 4" xfId="11"/>
    <cellStyle name="Normal 4 2" xfId="12"/>
    <cellStyle name="Normal 5 4" xfId="13"/>
    <cellStyle name="Percent" xfId="1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sharedStrings" Target="sharedStrings.xml"/><Relationship Id="rId5" Type="http://schemas.openxmlformats.org/officeDocument/2006/relationships/chartsheet" Target="chartsheets/sheet2.xml"/><Relationship Id="rId10" Type="http://schemas.openxmlformats.org/officeDocument/2006/relationships/styles" Target="styles.xml"/><Relationship Id="rId4" Type="http://schemas.openxmlformats.org/officeDocument/2006/relationships/chartsheet" Target="chartsheets/sheet1.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latin typeface="Arial Black" panose="020B0A04020102020204" pitchFamily="34" charset="0"/>
              </a:rPr>
              <a:t>NDARJA E SHPENZIMEVE</a:t>
            </a:r>
          </a:p>
        </c:rich>
      </c:tx>
      <c:overlay val="0"/>
      <c:spPr>
        <a:noFill/>
        <a:ln w="25400">
          <a:noFill/>
        </a:ln>
      </c:spPr>
    </c:title>
    <c:autoTitleDeleted val="0"/>
    <c:plotArea>
      <c:layout>
        <c:manualLayout>
          <c:layoutTarget val="inner"/>
          <c:xMode val="edge"/>
          <c:yMode val="edge"/>
          <c:x val="0.25440140845070419"/>
          <c:y val="0.18090452261306531"/>
          <c:w val="0.49031690140845358"/>
          <c:h val="0.69974874371859752"/>
        </c:manualLayout>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dLbl>
              <c:idx val="0"/>
              <c:layout>
                <c:manualLayout>
                  <c:x val="-9.4494975799997383E-2"/>
                  <c:y val="0.14438046735530294"/>
                </c:manualLayout>
              </c:layout>
              <c:dLblPos val="bestFit"/>
              <c:showLegendKey val="0"/>
              <c:showVal val="0"/>
              <c:showCatName val="1"/>
              <c:showSerName val="0"/>
              <c:showPercent val="1"/>
              <c:showBubbleSize val="0"/>
            </c:dLbl>
            <c:dLbl>
              <c:idx val="1"/>
              <c:layout>
                <c:manualLayout>
                  <c:x val="-0.12595497253129123"/>
                  <c:y val="1.3292509083680803E-2"/>
                </c:manualLayout>
              </c:layout>
              <c:tx>
                <c:rich>
                  <a:bodyPr/>
                  <a:lstStyle/>
                  <a:p>
                    <a:r>
                      <a:rPr lang="en-US"/>
                      <a:t>Financim i Huaj dhe burime te tjera 
35%</a:t>
                    </a:r>
                  </a:p>
                </c:rich>
              </c:tx>
              <c:dLblPos val="bestFit"/>
              <c:showLegendKey val="0"/>
              <c:showVal val="0"/>
              <c:showCatName val="1"/>
              <c:showSerName val="0"/>
              <c:showPercent val="1"/>
              <c:showBubbleSize val="0"/>
            </c:dLbl>
            <c:dLbl>
              <c:idx val="2"/>
              <c:layout>
                <c:manualLayout>
                  <c:x val="0.14057152656918911"/>
                  <c:y val="-0.18677130934750089"/>
                </c:manualLayout>
              </c:layout>
              <c:dLblPos val="bestFit"/>
              <c:showLegendKey val="0"/>
              <c:showVal val="0"/>
              <c:showCatName val="1"/>
              <c:showSerName val="0"/>
              <c:showPercent val="1"/>
              <c:showBubbleSize val="0"/>
            </c:dLbl>
            <c:dLbl>
              <c:idx val="3"/>
              <c:tx>
                <c:rich>
                  <a:bodyPr/>
                  <a:lstStyle/>
                  <a:p>
                    <a:r>
                      <a:rPr lang="en-US"/>
                      <a:t>Hendek financiar 2021-2025
-20%</a:t>
                    </a:r>
                  </a:p>
                </c:rich>
              </c:tx>
              <c:showLegendKey val="0"/>
              <c:showVal val="0"/>
              <c:showCatName val="1"/>
              <c:showSerName val="0"/>
              <c:showPercent val="1"/>
              <c:showBubbleSize val="0"/>
            </c:dLbl>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dLbls>
          <c:cat>
            <c:strRef>
              <c:f>'Totali_Qellimet politike'!$G$47:$G$50</c:f>
              <c:strCache>
                <c:ptCount val="4"/>
                <c:pt idx="0">
                  <c:v>MTBP 2021-2023</c:v>
                </c:pt>
                <c:pt idx="1">
                  <c:v>Financim i Huaj </c:v>
                </c:pt>
                <c:pt idx="2">
                  <c:v>Buxheti 2024-2025</c:v>
                </c:pt>
                <c:pt idx="3">
                  <c:v>Hendek financiar 2021-2025</c:v>
                </c:pt>
              </c:strCache>
            </c:strRef>
          </c:cat>
          <c:val>
            <c:numRef>
              <c:f>'Totali_Qellimet politike'!$H$47:$H$50</c:f>
              <c:numCache>
                <c:formatCode>#,##0</c:formatCode>
                <c:ptCount val="4"/>
                <c:pt idx="0">
                  <c:v>382311562</c:v>
                </c:pt>
                <c:pt idx="1">
                  <c:v>1027325530</c:v>
                </c:pt>
                <c:pt idx="2">
                  <c:v>891155644</c:v>
                </c:pt>
                <c:pt idx="3">
                  <c:v>-658785280.79999995</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200" b="0" i="0" strike="noStrike">
                <a:solidFill>
                  <a:srgbClr val="333333"/>
                </a:solidFill>
                <a:latin typeface="Arial Black"/>
              </a:rPr>
              <a:t>NATYRA EKONOMIKE E KOSTOVE TË </a:t>
            </a:r>
          </a:p>
          <a:p>
            <a:pPr>
              <a:defRPr sz="1000" b="0" i="0" u="none" strike="noStrike" baseline="0">
                <a:solidFill>
                  <a:srgbClr val="000000"/>
                </a:solidFill>
                <a:latin typeface="Calibri"/>
                <a:ea typeface="Calibri"/>
                <a:cs typeface="Calibri"/>
              </a:defRPr>
            </a:pPr>
            <a:r>
              <a:rPr lang="en-US" sz="1200" b="0" i="0" strike="noStrike">
                <a:solidFill>
                  <a:srgbClr val="333333"/>
                </a:solidFill>
                <a:latin typeface="Arial Black"/>
              </a:rPr>
              <a:t>Planit të Veprimit</a:t>
            </a:r>
            <a:endParaRPr lang="en-US" sz="1200" b="0" i="0" strike="noStrike">
              <a:solidFill>
                <a:srgbClr val="333333"/>
              </a:solidFill>
              <a:latin typeface="Calibri"/>
              <a:cs typeface="Calibri"/>
            </a:endParaRPr>
          </a:p>
          <a:p>
            <a:pPr>
              <a:defRPr sz="1000" b="0" i="0" u="none" strike="noStrike" baseline="0">
                <a:solidFill>
                  <a:srgbClr val="000000"/>
                </a:solidFill>
                <a:latin typeface="Calibri"/>
                <a:ea typeface="Calibri"/>
                <a:cs typeface="Calibri"/>
              </a:defRPr>
            </a:pPr>
            <a:endParaRPr lang="en-US" sz="1400" b="0" i="0" strike="noStrike">
              <a:solidFill>
                <a:srgbClr val="333333"/>
              </a:solidFill>
              <a:latin typeface="Calibri"/>
              <a:cs typeface="Calibri"/>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9.1549295774648098E-2"/>
          <c:y val="0.18718592964824118"/>
          <c:w val="0.8089788732394404"/>
          <c:h val="0.72110552763819658"/>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dPt>
          <c:dPt>
            <c:idx val="1"/>
            <c:bubble3D val="0"/>
            <c:spPr>
              <a:solidFill>
                <a:schemeClr val="accent2"/>
              </a:solidFill>
              <a:ln w="25400">
                <a:solidFill>
                  <a:schemeClr val="lt1"/>
                </a:solidFill>
              </a:ln>
              <a:effectLst/>
              <a:sp3d contourW="25400">
                <a:contourClr>
                  <a:schemeClr val="lt1"/>
                </a:contourClr>
              </a:sp3d>
            </c:spPr>
          </c:dPt>
          <c:dLbls>
            <c:spPr>
              <a:noFill/>
              <a:ln w="25400">
                <a:noFill/>
              </a:ln>
            </c:spPr>
            <c:txPr>
              <a:bodyPr wrap="square" lIns="38100" tIns="19050" rIns="38100" bIns="19050" anchor="ctr">
                <a:spAutoFit/>
              </a:bodyPr>
              <a:lstStyle/>
              <a:p>
                <a:pPr>
                  <a:defRPr sz="1200" b="1"/>
                </a:pPr>
                <a:endParaRPr lang="en-US"/>
              </a:p>
            </c:txPr>
            <c:dLblPos val="ctr"/>
            <c:showLegendKey val="0"/>
            <c:showVal val="0"/>
            <c:showCatName val="1"/>
            <c:showSerName val="0"/>
            <c:showPercent val="1"/>
            <c:showBubbleSize val="0"/>
            <c:showLeaderLines val="1"/>
          </c:dLbls>
          <c:cat>
            <c:strRef>
              <c:f>'Totali_Qellimet politike'!$G$57:$G$58</c:f>
              <c:strCache>
                <c:ptCount val="2"/>
                <c:pt idx="0">
                  <c:v>Kosto Korente </c:v>
                </c:pt>
                <c:pt idx="1">
                  <c:v>Kosto kapitale</c:v>
                </c:pt>
              </c:strCache>
            </c:strRef>
          </c:cat>
          <c:val>
            <c:numRef>
              <c:f>'Totali_Qellimet politike'!$H$57:$H$58</c:f>
              <c:numCache>
                <c:formatCode>#,##0</c:formatCode>
                <c:ptCount val="2"/>
                <c:pt idx="0">
                  <c:v>2500201856.8000002</c:v>
                </c:pt>
                <c:pt idx="1">
                  <c:v>668955000</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latin typeface="Arial Black" panose="020B0A04020102020204" pitchFamily="34" charset="0"/>
              </a:rPr>
              <a:t>Kosto të lidhura  me politikat</a:t>
            </a:r>
          </a:p>
        </c:rich>
      </c:tx>
      <c:layout>
        <c:manualLayout>
          <c:xMode val="edge"/>
          <c:yMode val="edge"/>
          <c:x val="0.26631833889543033"/>
          <c:y val="0"/>
        </c:manualLayout>
      </c:layout>
      <c:overlay val="0"/>
      <c:spPr>
        <a:noFill/>
        <a:ln w="25400">
          <a:noFill/>
        </a:ln>
      </c:spPr>
    </c:title>
    <c:autoTitleDeleted val="0"/>
    <c:plotArea>
      <c:layout>
        <c:manualLayout>
          <c:layoutTarget val="inner"/>
          <c:xMode val="edge"/>
          <c:yMode val="edge"/>
          <c:x val="4.6654929577464518E-2"/>
          <c:y val="8.9195979899498151E-2"/>
          <c:w val="0.83626760563380365"/>
          <c:h val="0.88567839195979892"/>
        </c:manualLayout>
      </c:layout>
      <c:barChart>
        <c:barDir val="col"/>
        <c:grouping val="percentStacked"/>
        <c:varyColors val="0"/>
        <c:ser>
          <c:idx val="0"/>
          <c:order val="0"/>
          <c:tx>
            <c:strRef>
              <c:f>'Totali_Qellimet politike'!$K$45</c:f>
              <c:strCache>
                <c:ptCount val="1"/>
                <c:pt idx="0">
                  <c:v>Kosto Korente</c:v>
                </c:pt>
              </c:strCache>
            </c:strRef>
          </c:tx>
          <c:spPr>
            <a:solidFill>
              <a:srgbClr val="5B9BD5"/>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dLbls>
          <c:cat>
            <c:strRef>
              <c:f>'Totali_Qellimet politike'!$J$46:$J$50</c:f>
              <c:strCache>
                <c:ptCount val="4"/>
                <c:pt idx="0">
                  <c:v>Qëllimi i Politikës I</c:v>
                </c:pt>
                <c:pt idx="1">
                  <c:v>Qëllimi i Politikës II</c:v>
                </c:pt>
                <c:pt idx="2">
                  <c:v>Qëllimi i Politikës III</c:v>
                </c:pt>
                <c:pt idx="3">
                  <c:v>Qëllimi i Politikës IV</c:v>
                </c:pt>
              </c:strCache>
            </c:strRef>
          </c:cat>
          <c:val>
            <c:numRef>
              <c:f>'Totali_Qellimet politike'!$K$46:$K$50</c:f>
              <c:numCache>
                <c:formatCode>#,##0</c:formatCode>
                <c:ptCount val="5"/>
                <c:pt idx="0">
                  <c:v>652311166.39999998</c:v>
                </c:pt>
                <c:pt idx="1">
                  <c:v>102377872</c:v>
                </c:pt>
                <c:pt idx="2">
                  <c:v>1525718040.8</c:v>
                </c:pt>
                <c:pt idx="3">
                  <c:v>219794777.60000002</c:v>
                </c:pt>
              </c:numCache>
            </c:numRef>
          </c:val>
        </c:ser>
        <c:ser>
          <c:idx val="1"/>
          <c:order val="1"/>
          <c:tx>
            <c:strRef>
              <c:f>'Totali_Qellimet politike'!$L$45</c:f>
              <c:strCache>
                <c:ptCount val="1"/>
                <c:pt idx="0">
                  <c:v>Kosto Kapitale</c:v>
                </c:pt>
              </c:strCache>
            </c:strRef>
          </c:tx>
          <c:spPr>
            <a:solidFill>
              <a:srgbClr val="ED7D31"/>
            </a:solidFill>
            <a:ln w="25400">
              <a:noFill/>
            </a:ln>
          </c:spPr>
          <c:invertIfNegative val="0"/>
          <c:dLbls>
            <c:txPr>
              <a:bodyPr/>
              <a:lstStyle/>
              <a:p>
                <a:pPr>
                  <a:defRPr sz="800"/>
                </a:pPr>
                <a:endParaRPr lang="en-US"/>
              </a:p>
            </c:txPr>
            <c:showLegendKey val="0"/>
            <c:showVal val="1"/>
            <c:showCatName val="0"/>
            <c:showSerName val="0"/>
            <c:showPercent val="0"/>
            <c:showBubbleSize val="0"/>
            <c:showLeaderLines val="0"/>
          </c:dLbls>
          <c:cat>
            <c:strRef>
              <c:f>'Totali_Qellimet politike'!$J$46:$J$50</c:f>
              <c:strCache>
                <c:ptCount val="4"/>
                <c:pt idx="0">
                  <c:v>Qëllimi i Politikës I</c:v>
                </c:pt>
                <c:pt idx="1">
                  <c:v>Qëllimi i Politikës II</c:v>
                </c:pt>
                <c:pt idx="2">
                  <c:v>Qëllimi i Politikës III</c:v>
                </c:pt>
                <c:pt idx="3">
                  <c:v>Qëllimi i Politikës IV</c:v>
                </c:pt>
              </c:strCache>
            </c:strRef>
          </c:cat>
          <c:val>
            <c:numRef>
              <c:f>'Totali_Qellimet politike'!$L$46:$L$50</c:f>
              <c:numCache>
                <c:formatCode>#,##0</c:formatCode>
                <c:ptCount val="5"/>
                <c:pt idx="0">
                  <c:v>20010000</c:v>
                </c:pt>
                <c:pt idx="1">
                  <c:v>0</c:v>
                </c:pt>
                <c:pt idx="2">
                  <c:v>648945000</c:v>
                </c:pt>
                <c:pt idx="3">
                  <c:v>0</c:v>
                </c:pt>
              </c:numCache>
            </c:numRef>
          </c:val>
        </c:ser>
        <c:dLbls>
          <c:showLegendKey val="0"/>
          <c:showVal val="0"/>
          <c:showCatName val="0"/>
          <c:showSerName val="0"/>
          <c:showPercent val="0"/>
          <c:showBubbleSize val="0"/>
        </c:dLbls>
        <c:gapWidth val="55"/>
        <c:overlap val="100"/>
        <c:axId val="68239744"/>
        <c:axId val="68241280"/>
      </c:barChart>
      <c:catAx>
        <c:axId val="6823974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241280"/>
        <c:crosses val="autoZero"/>
        <c:auto val="1"/>
        <c:lblAlgn val="ctr"/>
        <c:lblOffset val="100"/>
        <c:noMultiLvlLbl val="0"/>
      </c:catAx>
      <c:valAx>
        <c:axId val="68241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239744"/>
        <c:crosses val="autoZero"/>
        <c:crossBetween val="between"/>
      </c:valAx>
      <c:spPr>
        <a:noFill/>
        <a:ln w="25400">
          <a:noFill/>
        </a:ln>
      </c:spPr>
    </c:plotArea>
    <c:legend>
      <c:legendPos val="r"/>
      <c:layout>
        <c:manualLayout>
          <c:xMode val="edge"/>
          <c:yMode val="edge"/>
          <c:x val="0.89524647887323927"/>
          <c:y val="0.49748743718593152"/>
          <c:w val="9.9471830985915513E-2"/>
          <c:h val="7.035175879396984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tabColor theme="9" tint="-0.249977111117893"/>
  </sheetPr>
  <sheetViews>
    <sheetView zoomScale="121"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tabColor theme="9" tint="-0.249977111117893"/>
  </sheetPr>
  <sheetViews>
    <sheetView zoomScale="75"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tabColor theme="9" tint="-0.249977111117893"/>
  </sheetPr>
  <sheetViews>
    <sheetView zoomScale="121"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1435835" y="1253206"/>
    <xdr:ext cx="6297520" cy="481231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1828800" y="487680"/>
    <xdr:ext cx="5720080" cy="46228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862761" y="62975"/>
    <xdr:ext cx="6889488" cy="568036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nilda.dervishaj/AppData/Local/Microsoft/Windows/INetCache/Content.Outlook/AORCANFB/4.Formati%20IV_Kostimi%20Financiar_Barazia%20Gjinore_IPSIS%20Standa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esktop/Kostimi%20PAK/Ipsis%20dokumenta/Finale%20PAK/4.Formati%20IV_Modeli%20i%20Kostimit%20Financiar_Metodologjia%20e%20%20Kostimit_IPSIS_PAK_final_01%2003%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andard_Cost"/>
      <sheetName val="Incremental_Cost Year 1"/>
      <sheetName val="Incremental_Cost Year 2"/>
      <sheetName val="Incremental_Cost Year 3"/>
      <sheetName val="Incremental_Cost Year 4"/>
      <sheetName val="Incremental_Cost Year 5"/>
      <sheetName val="Incremental_Cost Year 6"/>
      <sheetName val="Incremental_Cost Year 7"/>
      <sheetName val="Incremental_Cost Year 8"/>
      <sheetName val="Incremental_Cost Year 9"/>
      <sheetName val="Incremental_Cost Year 10"/>
      <sheetName val="Summary for IPSIS"/>
    </sheetNames>
    <sheetDataSet>
      <sheetData sheetId="0"/>
      <sheetData sheetId="1"/>
      <sheetData sheetId="2"/>
      <sheetData sheetId="3"/>
      <sheetData sheetId="4"/>
      <sheetData sheetId="5"/>
      <sheetData sheetId="6"/>
      <sheetData sheetId="7"/>
      <sheetData sheetId="8"/>
      <sheetData sheetId="9"/>
      <sheetData sheetId="10"/>
      <sheetData sheetId="11">
        <row r="8">
          <cell r="H8">
            <v>506464</v>
          </cell>
          <cell r="I8">
            <v>69600</v>
          </cell>
          <cell r="J8">
            <v>0</v>
          </cell>
          <cell r="T8">
            <v>1542688</v>
          </cell>
          <cell r="U8">
            <v>2272800</v>
          </cell>
          <cell r="V8">
            <v>0</v>
          </cell>
          <cell r="AF8">
            <v>1321129.6000000001</v>
          </cell>
          <cell r="AG8">
            <v>1921200</v>
          </cell>
          <cell r="AH8">
            <v>0</v>
          </cell>
          <cell r="AR8">
            <v>1289456</v>
          </cell>
          <cell r="AS8">
            <v>1815600</v>
          </cell>
          <cell r="AT8">
            <v>0</v>
          </cell>
          <cell r="BD8">
            <v>1289456</v>
          </cell>
          <cell r="BE8">
            <v>1815600</v>
          </cell>
          <cell r="BF8">
            <v>0</v>
          </cell>
          <cell r="BP8">
            <v>0</v>
          </cell>
          <cell r="BQ8">
            <v>0</v>
          </cell>
          <cell r="BR8">
            <v>0</v>
          </cell>
          <cell r="CB8">
            <v>0</v>
          </cell>
          <cell r="CC8">
            <v>0</v>
          </cell>
          <cell r="CN8">
            <v>0</v>
          </cell>
          <cell r="CO8">
            <v>0</v>
          </cell>
          <cell r="CP8">
            <v>0</v>
          </cell>
          <cell r="CZ8">
            <v>0</v>
          </cell>
          <cell r="DA8">
            <v>0</v>
          </cell>
          <cell r="DB8">
            <v>0</v>
          </cell>
          <cell r="DL8">
            <v>0</v>
          </cell>
          <cell r="DM8">
            <v>0</v>
          </cell>
          <cell r="DN8">
            <v>0</v>
          </cell>
        </row>
        <row r="9">
          <cell r="H9">
            <v>0</v>
          </cell>
          <cell r="I9">
            <v>0</v>
          </cell>
          <cell r="J9">
            <v>0</v>
          </cell>
          <cell r="T9">
            <v>0</v>
          </cell>
          <cell r="U9">
            <v>2894400</v>
          </cell>
          <cell r="V9">
            <v>517500</v>
          </cell>
          <cell r="AF9">
            <v>135660</v>
          </cell>
          <cell r="AG9">
            <v>684000</v>
          </cell>
          <cell r="AH9">
            <v>0</v>
          </cell>
          <cell r="AR9">
            <v>0</v>
          </cell>
          <cell r="AS9">
            <v>0</v>
          </cell>
          <cell r="AT9">
            <v>0</v>
          </cell>
          <cell r="BD9">
            <v>0</v>
          </cell>
          <cell r="BE9">
            <v>0</v>
          </cell>
          <cell r="BF9">
            <v>0</v>
          </cell>
          <cell r="BP9">
            <v>0</v>
          </cell>
          <cell r="BQ9">
            <v>0</v>
          </cell>
          <cell r="BR9">
            <v>0</v>
          </cell>
          <cell r="CB9">
            <v>0</v>
          </cell>
          <cell r="CC9">
            <v>0</v>
          </cell>
          <cell r="CD9">
            <v>0</v>
          </cell>
          <cell r="CN9">
            <v>0</v>
          </cell>
          <cell r="CO9">
            <v>0</v>
          </cell>
          <cell r="CP9">
            <v>0</v>
          </cell>
          <cell r="CZ9">
            <v>0</v>
          </cell>
          <cell r="DA9">
            <v>0</v>
          </cell>
          <cell r="DB9">
            <v>0</v>
          </cell>
          <cell r="DL9">
            <v>0</v>
          </cell>
          <cell r="DM9">
            <v>0</v>
          </cell>
          <cell r="DN9">
            <v>0</v>
          </cell>
        </row>
        <row r="10">
          <cell r="H10">
            <v>0</v>
          </cell>
          <cell r="I10">
            <v>0</v>
          </cell>
          <cell r="J10">
            <v>0</v>
          </cell>
          <cell r="T10">
            <v>4107163.2</v>
          </cell>
          <cell r="U10">
            <v>3265920</v>
          </cell>
          <cell r="V10">
            <v>517500</v>
          </cell>
          <cell r="AF10">
            <v>6032712</v>
          </cell>
          <cell r="AG10">
            <v>9211200</v>
          </cell>
          <cell r="AH10">
            <v>0</v>
          </cell>
          <cell r="AR10">
            <v>6032712</v>
          </cell>
          <cell r="AS10">
            <v>5865600</v>
          </cell>
          <cell r="AT10">
            <v>517500</v>
          </cell>
          <cell r="BD10">
            <v>4107163.2</v>
          </cell>
          <cell r="BE10">
            <v>2937600</v>
          </cell>
          <cell r="BF10">
            <v>517500</v>
          </cell>
          <cell r="BP10">
            <v>0</v>
          </cell>
          <cell r="BQ10">
            <v>0</v>
          </cell>
          <cell r="BR10">
            <v>0</v>
          </cell>
          <cell r="CB10">
            <v>0</v>
          </cell>
          <cell r="CC10">
            <v>0</v>
          </cell>
          <cell r="CD10">
            <v>0</v>
          </cell>
          <cell r="CN10">
            <v>0</v>
          </cell>
          <cell r="CO10">
            <v>0</v>
          </cell>
          <cell r="CP10">
            <v>0</v>
          </cell>
          <cell r="CZ10">
            <v>0</v>
          </cell>
          <cell r="DA10">
            <v>0</v>
          </cell>
          <cell r="DB10">
            <v>0</v>
          </cell>
          <cell r="DL10">
            <v>0</v>
          </cell>
          <cell r="DM10">
            <v>0</v>
          </cell>
          <cell r="DN10">
            <v>0</v>
          </cell>
        </row>
        <row r="12">
          <cell r="H12">
            <v>1754536</v>
          </cell>
          <cell r="I12">
            <v>2732400</v>
          </cell>
          <cell r="J12">
            <v>0</v>
          </cell>
          <cell r="T12">
            <v>1935136</v>
          </cell>
          <cell r="U12">
            <v>2942400</v>
          </cell>
          <cell r="V12">
            <v>0</v>
          </cell>
          <cell r="AF12">
            <v>1935136</v>
          </cell>
          <cell r="AG12">
            <v>2577600</v>
          </cell>
          <cell r="AH12">
            <v>0</v>
          </cell>
          <cell r="AR12">
            <v>1935136</v>
          </cell>
          <cell r="AS12">
            <v>2577600</v>
          </cell>
          <cell r="AT12">
            <v>0</v>
          </cell>
          <cell r="BD12">
            <v>1935136</v>
          </cell>
          <cell r="BE12">
            <v>2577600</v>
          </cell>
          <cell r="BF12">
            <v>0</v>
          </cell>
          <cell r="BP12">
            <v>0</v>
          </cell>
          <cell r="BQ12">
            <v>0</v>
          </cell>
          <cell r="BR12">
            <v>0</v>
          </cell>
          <cell r="CB12">
            <v>0</v>
          </cell>
          <cell r="CC12">
            <v>0</v>
          </cell>
          <cell r="CD12">
            <v>0</v>
          </cell>
          <cell r="CN12">
            <v>0</v>
          </cell>
          <cell r="CO12">
            <v>0</v>
          </cell>
          <cell r="CP12">
            <v>0</v>
          </cell>
          <cell r="CZ12">
            <v>0</v>
          </cell>
          <cell r="DA12">
            <v>0</v>
          </cell>
          <cell r="DB12">
            <v>0</v>
          </cell>
          <cell r="DL12">
            <v>0</v>
          </cell>
          <cell r="DM12">
            <v>0</v>
          </cell>
          <cell r="DN12">
            <v>0</v>
          </cell>
        </row>
        <row r="13">
          <cell r="H13">
            <v>2370939.2000000002</v>
          </cell>
          <cell r="I13">
            <v>3888000</v>
          </cell>
          <cell r="J13">
            <v>0</v>
          </cell>
          <cell r="T13">
            <v>4392948</v>
          </cell>
          <cell r="U13">
            <v>5272800</v>
          </cell>
          <cell r="V13">
            <v>2760000</v>
          </cell>
          <cell r="AF13">
            <v>4392948</v>
          </cell>
          <cell r="AG13">
            <v>228000</v>
          </cell>
          <cell r="AH13">
            <v>4140000</v>
          </cell>
          <cell r="AR13">
            <v>4447212</v>
          </cell>
          <cell r="AS13">
            <v>0</v>
          </cell>
          <cell r="AT13">
            <v>5520000</v>
          </cell>
          <cell r="BD13">
            <v>5723239.2000000002</v>
          </cell>
          <cell r="BE13">
            <v>3674400</v>
          </cell>
          <cell r="BF13">
            <v>5520000</v>
          </cell>
          <cell r="BP13">
            <v>0</v>
          </cell>
          <cell r="BQ13">
            <v>0</v>
          </cell>
          <cell r="BR13">
            <v>0</v>
          </cell>
          <cell r="CB13">
            <v>0</v>
          </cell>
          <cell r="CC13">
            <v>0</v>
          </cell>
          <cell r="CD13">
            <v>0</v>
          </cell>
          <cell r="CN13">
            <v>0</v>
          </cell>
          <cell r="CO13">
            <v>0</v>
          </cell>
          <cell r="CP13">
            <v>0</v>
          </cell>
          <cell r="CZ13">
            <v>0</v>
          </cell>
          <cell r="DA13">
            <v>0</v>
          </cell>
          <cell r="DB13">
            <v>0</v>
          </cell>
          <cell r="DL13">
            <v>0</v>
          </cell>
          <cell r="DM13">
            <v>0</v>
          </cell>
          <cell r="DN13">
            <v>0</v>
          </cell>
        </row>
        <row r="14">
          <cell r="H14">
            <v>0</v>
          </cell>
          <cell r="I14">
            <v>456000</v>
          </cell>
          <cell r="J14">
            <v>0</v>
          </cell>
          <cell r="T14">
            <v>0</v>
          </cell>
          <cell r="U14">
            <v>6657900</v>
          </cell>
          <cell r="V14">
            <v>0</v>
          </cell>
          <cell r="AF14">
            <v>0</v>
          </cell>
          <cell r="AG14">
            <v>3530400</v>
          </cell>
          <cell r="AH14">
            <v>0</v>
          </cell>
          <cell r="AR14">
            <v>0</v>
          </cell>
          <cell r="AS14">
            <v>0</v>
          </cell>
          <cell r="AT14">
            <v>0</v>
          </cell>
          <cell r="BD14">
            <v>0</v>
          </cell>
          <cell r="BE14">
            <v>0</v>
          </cell>
          <cell r="BF14">
            <v>0</v>
          </cell>
          <cell r="BP14">
            <v>0</v>
          </cell>
          <cell r="BQ14">
            <v>0</v>
          </cell>
          <cell r="BR14">
            <v>0</v>
          </cell>
          <cell r="CB14">
            <v>0</v>
          </cell>
          <cell r="CC14">
            <v>0</v>
          </cell>
          <cell r="CD14">
            <v>0</v>
          </cell>
          <cell r="CN14">
            <v>0</v>
          </cell>
          <cell r="CO14">
            <v>0</v>
          </cell>
          <cell r="CP14">
            <v>0</v>
          </cell>
          <cell r="CZ14">
            <v>0</v>
          </cell>
          <cell r="DA14">
            <v>0</v>
          </cell>
          <cell r="DB14">
            <v>0</v>
          </cell>
          <cell r="DL14">
            <v>0</v>
          </cell>
          <cell r="DM14">
            <v>0</v>
          </cell>
          <cell r="DN14">
            <v>0</v>
          </cell>
        </row>
        <row r="15">
          <cell r="H15">
            <v>0</v>
          </cell>
          <cell r="I15">
            <v>0</v>
          </cell>
          <cell r="J15">
            <v>0</v>
          </cell>
          <cell r="T15">
            <v>0</v>
          </cell>
          <cell r="U15">
            <v>456000</v>
          </cell>
          <cell r="V15">
            <v>0</v>
          </cell>
          <cell r="AF15">
            <v>0</v>
          </cell>
          <cell r="AG15">
            <v>1328400</v>
          </cell>
          <cell r="AH15">
            <v>0</v>
          </cell>
          <cell r="AR15">
            <v>0</v>
          </cell>
          <cell r="AS15">
            <v>0</v>
          </cell>
          <cell r="AT15">
            <v>0</v>
          </cell>
          <cell r="BD15">
            <v>0</v>
          </cell>
          <cell r="BE15">
            <v>0</v>
          </cell>
          <cell r="BF15">
            <v>0</v>
          </cell>
          <cell r="BP15">
            <v>0</v>
          </cell>
          <cell r="BQ15">
            <v>0</v>
          </cell>
          <cell r="BR15">
            <v>0</v>
          </cell>
          <cell r="CB15">
            <v>0</v>
          </cell>
          <cell r="CC15">
            <v>0</v>
          </cell>
          <cell r="CD15">
            <v>0</v>
          </cell>
          <cell r="CN15">
            <v>0</v>
          </cell>
          <cell r="CO15">
            <v>0</v>
          </cell>
          <cell r="CP15">
            <v>0</v>
          </cell>
          <cell r="CZ15">
            <v>0</v>
          </cell>
          <cell r="DA15">
            <v>0</v>
          </cell>
          <cell r="DB15">
            <v>0</v>
          </cell>
          <cell r="DL15">
            <v>0</v>
          </cell>
          <cell r="DM15">
            <v>0</v>
          </cell>
          <cell r="DN15">
            <v>0</v>
          </cell>
        </row>
        <row r="17">
          <cell r="H17">
            <v>0</v>
          </cell>
          <cell r="I17">
            <v>228000</v>
          </cell>
          <cell r="J17">
            <v>0</v>
          </cell>
          <cell r="T17">
            <v>14411488</v>
          </cell>
          <cell r="U17">
            <v>30778800</v>
          </cell>
          <cell r="V17">
            <v>0</v>
          </cell>
          <cell r="AF17">
            <v>14332304</v>
          </cell>
          <cell r="AG17">
            <v>25776000</v>
          </cell>
          <cell r="AH17">
            <v>0</v>
          </cell>
          <cell r="AR17">
            <v>14332304</v>
          </cell>
          <cell r="AS17">
            <v>25776000</v>
          </cell>
          <cell r="AT17">
            <v>0</v>
          </cell>
          <cell r="BD17">
            <v>14332304</v>
          </cell>
          <cell r="BE17">
            <v>25776000</v>
          </cell>
          <cell r="BF17">
            <v>0</v>
          </cell>
          <cell r="BP17">
            <v>0</v>
          </cell>
          <cell r="BQ17">
            <v>0</v>
          </cell>
          <cell r="BR17">
            <v>0</v>
          </cell>
          <cell r="CB17">
            <v>0</v>
          </cell>
          <cell r="CC17">
            <v>0</v>
          </cell>
          <cell r="CD17">
            <v>0</v>
          </cell>
          <cell r="CN17">
            <v>0</v>
          </cell>
          <cell r="CO17">
            <v>0</v>
          </cell>
          <cell r="CP17">
            <v>0</v>
          </cell>
          <cell r="CZ17">
            <v>0</v>
          </cell>
          <cell r="DA17">
            <v>0</v>
          </cell>
          <cell r="DB17">
            <v>0</v>
          </cell>
          <cell r="DL17">
            <v>0</v>
          </cell>
          <cell r="DM17">
            <v>0</v>
          </cell>
          <cell r="DN17">
            <v>0</v>
          </cell>
        </row>
        <row r="18">
          <cell r="H18">
            <v>0</v>
          </cell>
          <cell r="I18">
            <v>0</v>
          </cell>
          <cell r="J18">
            <v>0</v>
          </cell>
          <cell r="T18">
            <v>79184</v>
          </cell>
          <cell r="U18">
            <v>428400</v>
          </cell>
          <cell r="V18">
            <v>0</v>
          </cell>
          <cell r="AF18">
            <v>0</v>
          </cell>
          <cell r="AG18">
            <v>0</v>
          </cell>
          <cell r="AH18">
            <v>0</v>
          </cell>
          <cell r="AR18">
            <v>0</v>
          </cell>
          <cell r="AS18">
            <v>0</v>
          </cell>
          <cell r="AT18">
            <v>0</v>
          </cell>
          <cell r="BD18">
            <v>0</v>
          </cell>
          <cell r="BE18">
            <v>0</v>
          </cell>
          <cell r="BF18">
            <v>0</v>
          </cell>
          <cell r="BP18">
            <v>0</v>
          </cell>
          <cell r="BQ18">
            <v>0</v>
          </cell>
          <cell r="BR18">
            <v>0</v>
          </cell>
          <cell r="CB18">
            <v>0</v>
          </cell>
          <cell r="CC18">
            <v>0</v>
          </cell>
          <cell r="CD18">
            <v>0</v>
          </cell>
          <cell r="CO18">
            <v>0</v>
          </cell>
          <cell r="CP18">
            <v>0</v>
          </cell>
          <cell r="CZ18">
            <v>0</v>
          </cell>
          <cell r="DA18">
            <v>0</v>
          </cell>
          <cell r="DB18">
            <v>0</v>
          </cell>
          <cell r="DL18">
            <v>0</v>
          </cell>
          <cell r="DM18">
            <v>0</v>
          </cell>
          <cell r="DN18">
            <v>0</v>
          </cell>
        </row>
        <row r="19">
          <cell r="H19">
            <v>0</v>
          </cell>
          <cell r="I19">
            <v>0</v>
          </cell>
          <cell r="J19">
            <v>0</v>
          </cell>
          <cell r="T19">
            <v>1040648</v>
          </cell>
          <cell r="U19">
            <v>43322400</v>
          </cell>
          <cell r="V19">
            <v>0</v>
          </cell>
          <cell r="AF19">
            <v>1040648</v>
          </cell>
          <cell r="AG19">
            <v>42638400</v>
          </cell>
          <cell r="AH19">
            <v>0</v>
          </cell>
          <cell r="AR19">
            <v>1040648</v>
          </cell>
          <cell r="AS19">
            <v>43322400</v>
          </cell>
          <cell r="AT19">
            <v>0</v>
          </cell>
          <cell r="BD19">
            <v>1040648</v>
          </cell>
          <cell r="BE19">
            <v>43322400</v>
          </cell>
          <cell r="BF19">
            <v>0</v>
          </cell>
          <cell r="BP19">
            <v>0</v>
          </cell>
          <cell r="BQ19">
            <v>0</v>
          </cell>
          <cell r="BR19">
            <v>0</v>
          </cell>
          <cell r="CB19">
            <v>0</v>
          </cell>
          <cell r="CC19">
            <v>0</v>
          </cell>
          <cell r="CD19">
            <v>0</v>
          </cell>
          <cell r="CN19">
            <v>0</v>
          </cell>
          <cell r="CO19">
            <v>0</v>
          </cell>
          <cell r="CP19">
            <v>0</v>
          </cell>
          <cell r="CZ19">
            <v>0</v>
          </cell>
          <cell r="DA19">
            <v>0</v>
          </cell>
          <cell r="DB19">
            <v>0</v>
          </cell>
          <cell r="DL19">
            <v>0</v>
          </cell>
          <cell r="DM19">
            <v>0</v>
          </cell>
          <cell r="DN19">
            <v>0</v>
          </cell>
        </row>
        <row r="20">
          <cell r="H20">
            <v>90440</v>
          </cell>
          <cell r="I20">
            <v>36000000</v>
          </cell>
          <cell r="J20">
            <v>0</v>
          </cell>
          <cell r="T20">
            <v>90440</v>
          </cell>
          <cell r="U20">
            <v>36000000</v>
          </cell>
          <cell r="V20">
            <v>0</v>
          </cell>
          <cell r="AF20">
            <v>90440</v>
          </cell>
          <cell r="AG20">
            <v>36000000</v>
          </cell>
          <cell r="AH20">
            <v>0</v>
          </cell>
          <cell r="AR20">
            <v>90440</v>
          </cell>
          <cell r="AS20">
            <v>36000000</v>
          </cell>
          <cell r="AT20">
            <v>0</v>
          </cell>
          <cell r="BD20">
            <v>90440</v>
          </cell>
          <cell r="BE20">
            <v>36000000</v>
          </cell>
          <cell r="BF20">
            <v>0</v>
          </cell>
          <cell r="BP20">
            <v>0</v>
          </cell>
          <cell r="BQ20">
            <v>0</v>
          </cell>
          <cell r="BR20">
            <v>0</v>
          </cell>
          <cell r="CB20">
            <v>0</v>
          </cell>
          <cell r="CC20">
            <v>0</v>
          </cell>
          <cell r="CD20">
            <v>0</v>
          </cell>
          <cell r="CN20">
            <v>0</v>
          </cell>
          <cell r="CO20">
            <v>0</v>
          </cell>
          <cell r="CP20">
            <v>0</v>
          </cell>
          <cell r="CZ20">
            <v>0</v>
          </cell>
          <cell r="DA20">
            <v>0</v>
          </cell>
          <cell r="DB20">
            <v>0</v>
          </cell>
          <cell r="DL20">
            <v>0</v>
          </cell>
          <cell r="DM20">
            <v>0</v>
          </cell>
          <cell r="DN20">
            <v>0</v>
          </cell>
        </row>
        <row r="23">
          <cell r="H23">
            <v>5655440</v>
          </cell>
          <cell r="I23">
            <v>0</v>
          </cell>
          <cell r="J23">
            <v>0</v>
          </cell>
          <cell r="T23">
            <v>6605648</v>
          </cell>
          <cell r="U23">
            <v>7884000</v>
          </cell>
          <cell r="V23">
            <v>0</v>
          </cell>
          <cell r="AF23">
            <v>6605648</v>
          </cell>
          <cell r="AG23">
            <v>2184000</v>
          </cell>
          <cell r="AH23">
            <v>0</v>
          </cell>
          <cell r="AR23">
            <v>6605648</v>
          </cell>
          <cell r="AS23">
            <v>2184000</v>
          </cell>
          <cell r="AT23">
            <v>0</v>
          </cell>
          <cell r="BD23">
            <v>6605648</v>
          </cell>
          <cell r="BE23">
            <v>2184000</v>
          </cell>
          <cell r="BF23">
            <v>0</v>
          </cell>
          <cell r="BP23">
            <v>0</v>
          </cell>
          <cell r="BQ23">
            <v>0</v>
          </cell>
          <cell r="BR23">
            <v>0</v>
          </cell>
          <cell r="CB23">
            <v>0</v>
          </cell>
          <cell r="CC23">
            <v>0</v>
          </cell>
          <cell r="CD23">
            <v>0</v>
          </cell>
          <cell r="CN23">
            <v>0</v>
          </cell>
          <cell r="CO23">
            <v>0</v>
          </cell>
          <cell r="CP23">
            <v>0</v>
          </cell>
          <cell r="CZ23">
            <v>0</v>
          </cell>
          <cell r="DA23">
            <v>0</v>
          </cell>
          <cell r="DB23">
            <v>0</v>
          </cell>
          <cell r="DL23">
            <v>0</v>
          </cell>
          <cell r="DM23">
            <v>0</v>
          </cell>
          <cell r="DN23">
            <v>0</v>
          </cell>
        </row>
        <row r="24">
          <cell r="H24">
            <v>0</v>
          </cell>
          <cell r="I24">
            <v>0</v>
          </cell>
          <cell r="J24">
            <v>0</v>
          </cell>
          <cell r="T24">
            <v>0</v>
          </cell>
          <cell r="U24">
            <v>0</v>
          </cell>
          <cell r="V24">
            <v>0</v>
          </cell>
          <cell r="AF24">
            <v>0</v>
          </cell>
          <cell r="AG24">
            <v>2736000</v>
          </cell>
          <cell r="AH24">
            <v>0</v>
          </cell>
          <cell r="AR24">
            <v>0</v>
          </cell>
          <cell r="AS24">
            <v>0</v>
          </cell>
          <cell r="AT24">
            <v>0</v>
          </cell>
          <cell r="BD24">
            <v>0</v>
          </cell>
          <cell r="BE24">
            <v>0</v>
          </cell>
          <cell r="BF24">
            <v>0</v>
          </cell>
          <cell r="BP24">
            <v>0</v>
          </cell>
          <cell r="BQ24">
            <v>0</v>
          </cell>
          <cell r="BR24">
            <v>0</v>
          </cell>
          <cell r="CB24">
            <v>0</v>
          </cell>
          <cell r="CC24">
            <v>0</v>
          </cell>
          <cell r="CD24">
            <v>0</v>
          </cell>
          <cell r="CN24">
            <v>0</v>
          </cell>
          <cell r="CO24">
            <v>0</v>
          </cell>
          <cell r="CP24">
            <v>0</v>
          </cell>
          <cell r="CZ24">
            <v>0</v>
          </cell>
          <cell r="DA24">
            <v>0</v>
          </cell>
          <cell r="DB24">
            <v>0</v>
          </cell>
          <cell r="DL24">
            <v>0</v>
          </cell>
          <cell r="DM24">
            <v>0</v>
          </cell>
          <cell r="DN24">
            <v>0</v>
          </cell>
        </row>
        <row r="25">
          <cell r="H25">
            <v>0</v>
          </cell>
          <cell r="I25">
            <v>0</v>
          </cell>
          <cell r="J25">
            <v>0</v>
          </cell>
          <cell r="T25">
            <v>0</v>
          </cell>
          <cell r="U25">
            <v>0</v>
          </cell>
          <cell r="V25">
            <v>0</v>
          </cell>
          <cell r="AF25">
            <v>0</v>
          </cell>
          <cell r="AG25">
            <v>2066400</v>
          </cell>
          <cell r="AH25">
            <v>0</v>
          </cell>
          <cell r="AR25">
            <v>0</v>
          </cell>
          <cell r="AS25">
            <v>2052000</v>
          </cell>
          <cell r="AT25">
            <v>0</v>
          </cell>
          <cell r="BD25">
            <v>677600</v>
          </cell>
          <cell r="BE25">
            <v>0</v>
          </cell>
          <cell r="BF25">
            <v>0</v>
          </cell>
          <cell r="BP25">
            <v>0</v>
          </cell>
          <cell r="BQ25">
            <v>0</v>
          </cell>
          <cell r="BR25">
            <v>0</v>
          </cell>
          <cell r="CB25">
            <v>0</v>
          </cell>
          <cell r="CC25">
            <v>0</v>
          </cell>
          <cell r="CD25">
            <v>0</v>
          </cell>
          <cell r="CN25">
            <v>0</v>
          </cell>
          <cell r="CO25">
            <v>0</v>
          </cell>
          <cell r="CP25">
            <v>0</v>
          </cell>
          <cell r="CZ25">
            <v>0</v>
          </cell>
          <cell r="DA25">
            <v>0</v>
          </cell>
          <cell r="DB25">
            <v>0</v>
          </cell>
          <cell r="DL25">
            <v>0</v>
          </cell>
          <cell r="DM25">
            <v>0</v>
          </cell>
          <cell r="DN25">
            <v>0</v>
          </cell>
        </row>
        <row r="26">
          <cell r="H26">
            <v>0</v>
          </cell>
          <cell r="I26">
            <v>0</v>
          </cell>
          <cell r="J26">
            <v>0</v>
          </cell>
          <cell r="T26">
            <v>0</v>
          </cell>
          <cell r="U26">
            <v>0</v>
          </cell>
          <cell r="V26">
            <v>0</v>
          </cell>
          <cell r="AF26">
            <v>0</v>
          </cell>
          <cell r="AG26">
            <v>0</v>
          </cell>
          <cell r="AH26">
            <v>0</v>
          </cell>
          <cell r="AR26">
            <v>0</v>
          </cell>
          <cell r="AS26">
            <v>0</v>
          </cell>
          <cell r="AT26">
            <v>0</v>
          </cell>
          <cell r="BD26">
            <v>0</v>
          </cell>
          <cell r="BE26">
            <v>1482000</v>
          </cell>
          <cell r="BF26">
            <v>0</v>
          </cell>
          <cell r="BP26">
            <v>0</v>
          </cell>
          <cell r="BQ26">
            <v>1504800</v>
          </cell>
          <cell r="BR26">
            <v>0</v>
          </cell>
          <cell r="CB26">
            <v>0</v>
          </cell>
          <cell r="CC26">
            <v>1368000</v>
          </cell>
          <cell r="CD26">
            <v>0</v>
          </cell>
          <cell r="CN26">
            <v>0</v>
          </cell>
          <cell r="CO26">
            <v>1368000</v>
          </cell>
          <cell r="CP26">
            <v>0</v>
          </cell>
          <cell r="CZ26">
            <v>0</v>
          </cell>
          <cell r="DA26">
            <v>1368000</v>
          </cell>
          <cell r="DB26">
            <v>0</v>
          </cell>
          <cell r="DL26">
            <v>0</v>
          </cell>
          <cell r="DM26">
            <v>1368000</v>
          </cell>
          <cell r="DN26">
            <v>0</v>
          </cell>
        </row>
        <row r="27">
          <cell r="H27">
            <v>0</v>
          </cell>
          <cell r="I27">
            <v>0</v>
          </cell>
          <cell r="J27">
            <v>0</v>
          </cell>
          <cell r="T27">
            <v>0</v>
          </cell>
          <cell r="U27">
            <v>1596000</v>
          </cell>
          <cell r="V27">
            <v>0</v>
          </cell>
          <cell r="AF27">
            <v>0</v>
          </cell>
          <cell r="AG27">
            <v>1368000</v>
          </cell>
          <cell r="AH27">
            <v>0</v>
          </cell>
          <cell r="AR27">
            <v>0</v>
          </cell>
          <cell r="AS27">
            <v>1368000</v>
          </cell>
          <cell r="AT27">
            <v>0</v>
          </cell>
          <cell r="BD27">
            <v>0</v>
          </cell>
          <cell r="BE27">
            <v>1368000</v>
          </cell>
          <cell r="BF27">
            <v>0</v>
          </cell>
          <cell r="BP27">
            <v>0</v>
          </cell>
          <cell r="BQ27">
            <v>1368000</v>
          </cell>
          <cell r="BR27">
            <v>0</v>
          </cell>
          <cell r="CB27">
            <v>0</v>
          </cell>
          <cell r="CC27">
            <v>1368000</v>
          </cell>
          <cell r="CD27">
            <v>0</v>
          </cell>
          <cell r="CN27">
            <v>0</v>
          </cell>
          <cell r="CO27">
            <v>1368000</v>
          </cell>
          <cell r="CP27">
            <v>0</v>
          </cell>
          <cell r="CZ27">
            <v>0</v>
          </cell>
          <cell r="DA27">
            <v>1368000</v>
          </cell>
          <cell r="DB27">
            <v>0</v>
          </cell>
          <cell r="DL27">
            <v>0</v>
          </cell>
          <cell r="DM27">
            <v>1368000</v>
          </cell>
          <cell r="DN27">
            <v>0</v>
          </cell>
        </row>
        <row r="29">
          <cell r="H29">
            <v>0</v>
          </cell>
          <cell r="I29">
            <v>0</v>
          </cell>
          <cell r="J29">
            <v>0</v>
          </cell>
          <cell r="T29">
            <v>871024</v>
          </cell>
          <cell r="U29">
            <v>6653400</v>
          </cell>
          <cell r="V29">
            <v>0</v>
          </cell>
          <cell r="AF29">
            <v>633472</v>
          </cell>
          <cell r="AG29">
            <v>5969400</v>
          </cell>
          <cell r="AH29">
            <v>0</v>
          </cell>
          <cell r="AR29">
            <v>633472</v>
          </cell>
          <cell r="AS29">
            <v>5969400</v>
          </cell>
          <cell r="AT29">
            <v>0</v>
          </cell>
          <cell r="BD29">
            <v>633472</v>
          </cell>
          <cell r="BE29">
            <v>5969400</v>
          </cell>
          <cell r="BF29">
            <v>0</v>
          </cell>
          <cell r="BP29">
            <v>0</v>
          </cell>
          <cell r="BQ29">
            <v>0</v>
          </cell>
          <cell r="BR29">
            <v>0</v>
          </cell>
          <cell r="CB29">
            <v>0</v>
          </cell>
          <cell r="CC29">
            <v>0</v>
          </cell>
          <cell r="CD29">
            <v>0</v>
          </cell>
          <cell r="CN29">
            <v>0</v>
          </cell>
          <cell r="CO29">
            <v>0</v>
          </cell>
          <cell r="CP29">
            <v>0</v>
          </cell>
          <cell r="CZ29">
            <v>0</v>
          </cell>
          <cell r="DA29">
            <v>0</v>
          </cell>
          <cell r="DB29">
            <v>0</v>
          </cell>
          <cell r="DL29">
            <v>0</v>
          </cell>
          <cell r="DM29">
            <v>0</v>
          </cell>
          <cell r="DN29">
            <v>0</v>
          </cell>
        </row>
        <row r="32">
          <cell r="H32">
            <v>0</v>
          </cell>
          <cell r="I32">
            <v>1824000</v>
          </cell>
          <cell r="J32">
            <v>0</v>
          </cell>
          <cell r="T32">
            <v>677600</v>
          </cell>
          <cell r="U32">
            <v>2294400</v>
          </cell>
          <cell r="V32">
            <v>0</v>
          </cell>
          <cell r="AF32">
            <v>0</v>
          </cell>
          <cell r="AG32">
            <v>0</v>
          </cell>
          <cell r="AH32">
            <v>0</v>
          </cell>
          <cell r="AR32">
            <v>0</v>
          </cell>
          <cell r="AS32">
            <v>0</v>
          </cell>
          <cell r="AT32">
            <v>0</v>
          </cell>
          <cell r="BD32">
            <v>0</v>
          </cell>
          <cell r="BE32">
            <v>0</v>
          </cell>
          <cell r="BF32">
            <v>0</v>
          </cell>
          <cell r="BP32">
            <v>0</v>
          </cell>
          <cell r="BQ32">
            <v>0</v>
          </cell>
          <cell r="BR32">
            <v>0</v>
          </cell>
          <cell r="CB32">
            <v>0</v>
          </cell>
          <cell r="CC32">
            <v>0</v>
          </cell>
          <cell r="CD32">
            <v>0</v>
          </cell>
          <cell r="CN32">
            <v>0</v>
          </cell>
          <cell r="CO32">
            <v>0</v>
          </cell>
          <cell r="CP32">
            <v>0</v>
          </cell>
          <cell r="CZ32">
            <v>0</v>
          </cell>
          <cell r="DA32">
            <v>0</v>
          </cell>
          <cell r="DB32">
            <v>0</v>
          </cell>
          <cell r="DL32">
            <v>0</v>
          </cell>
          <cell r="DM32">
            <v>0</v>
          </cell>
          <cell r="DN32">
            <v>0</v>
          </cell>
        </row>
        <row r="33">
          <cell r="H33">
            <v>6318883.2000000002</v>
          </cell>
          <cell r="I33">
            <v>3369600</v>
          </cell>
          <cell r="J33">
            <v>0</v>
          </cell>
          <cell r="T33">
            <v>6318883.2000000002</v>
          </cell>
          <cell r="U33">
            <v>34762800</v>
          </cell>
          <cell r="V33">
            <v>460000</v>
          </cell>
          <cell r="AF33">
            <v>6318883.2000000002</v>
          </cell>
          <cell r="AG33">
            <v>7906800</v>
          </cell>
          <cell r="AH33">
            <v>460000</v>
          </cell>
          <cell r="AR33">
            <v>6318883.2000000002</v>
          </cell>
          <cell r="AS33">
            <v>2503200</v>
          </cell>
          <cell r="AT33">
            <v>0</v>
          </cell>
          <cell r="BD33">
            <v>6318883.2000000002</v>
          </cell>
          <cell r="BE33">
            <v>2503200</v>
          </cell>
          <cell r="BF33">
            <v>0</v>
          </cell>
          <cell r="BP33">
            <v>4988592</v>
          </cell>
          <cell r="BQ33">
            <v>319200</v>
          </cell>
          <cell r="BR33">
            <v>0</v>
          </cell>
          <cell r="CB33">
            <v>4988592</v>
          </cell>
          <cell r="CC33">
            <v>319200</v>
          </cell>
          <cell r="CD33">
            <v>0</v>
          </cell>
          <cell r="CN33">
            <v>4988592</v>
          </cell>
          <cell r="CO33">
            <v>319200</v>
          </cell>
          <cell r="CP33">
            <v>0</v>
          </cell>
          <cell r="CZ33">
            <v>4988592</v>
          </cell>
          <cell r="DA33">
            <v>319200</v>
          </cell>
          <cell r="DB33">
            <v>0</v>
          </cell>
          <cell r="DL33">
            <v>4988592</v>
          </cell>
          <cell r="DM33">
            <v>319200</v>
          </cell>
          <cell r="DN33">
            <v>0</v>
          </cell>
        </row>
        <row r="34">
          <cell r="H34">
            <v>0</v>
          </cell>
          <cell r="I34">
            <v>0</v>
          </cell>
          <cell r="J34">
            <v>0</v>
          </cell>
          <cell r="T34">
            <v>0</v>
          </cell>
          <cell r="U34">
            <v>1368000</v>
          </cell>
          <cell r="V34">
            <v>0</v>
          </cell>
          <cell r="AF34">
            <v>0</v>
          </cell>
          <cell r="AG34">
            <v>2736000</v>
          </cell>
          <cell r="AH34">
            <v>11500000</v>
          </cell>
          <cell r="AR34">
            <v>0</v>
          </cell>
          <cell r="AS34">
            <v>3078000</v>
          </cell>
          <cell r="AT34">
            <v>23000000</v>
          </cell>
          <cell r="BD34">
            <v>0</v>
          </cell>
          <cell r="BE34">
            <v>3078000</v>
          </cell>
          <cell r="BF34">
            <v>34500000</v>
          </cell>
          <cell r="BP34">
            <v>0</v>
          </cell>
          <cell r="BQ34">
            <v>0</v>
          </cell>
          <cell r="BR34">
            <v>34500000</v>
          </cell>
          <cell r="CB34">
            <v>0</v>
          </cell>
          <cell r="CC34">
            <v>0</v>
          </cell>
          <cell r="CD34">
            <v>34500000</v>
          </cell>
          <cell r="CN34">
            <v>0</v>
          </cell>
          <cell r="CO34">
            <v>0</v>
          </cell>
          <cell r="CP34">
            <v>34500000</v>
          </cell>
          <cell r="CZ34">
            <v>0</v>
          </cell>
          <cell r="DA34">
            <v>0</v>
          </cell>
          <cell r="DB34">
            <v>34500000</v>
          </cell>
          <cell r="DL34">
            <v>0</v>
          </cell>
          <cell r="DM34">
            <v>0</v>
          </cell>
          <cell r="DN34">
            <v>34500000</v>
          </cell>
        </row>
        <row r="36">
          <cell r="H36">
            <v>0</v>
          </cell>
          <cell r="I36">
            <v>0</v>
          </cell>
          <cell r="J36">
            <v>0</v>
          </cell>
          <cell r="T36">
            <v>0</v>
          </cell>
          <cell r="U36">
            <v>0</v>
          </cell>
          <cell r="V36">
            <v>0</v>
          </cell>
          <cell r="AF36">
            <v>7601664</v>
          </cell>
          <cell r="AG36">
            <v>15360000</v>
          </cell>
          <cell r="AH36">
            <v>8280000</v>
          </cell>
          <cell r="AR36">
            <v>7601664</v>
          </cell>
          <cell r="AS36">
            <v>15360000</v>
          </cell>
          <cell r="AT36">
            <v>0</v>
          </cell>
          <cell r="BD36">
            <v>7601664</v>
          </cell>
          <cell r="BE36">
            <v>15360000</v>
          </cell>
          <cell r="BF36">
            <v>460000</v>
          </cell>
          <cell r="BP36">
            <v>7601664</v>
          </cell>
          <cell r="BQ36">
            <v>18692400</v>
          </cell>
          <cell r="CB36">
            <v>7601664</v>
          </cell>
          <cell r="CC36">
            <v>17760000</v>
          </cell>
          <cell r="CD36">
            <v>230000</v>
          </cell>
          <cell r="CN36">
            <v>7601664</v>
          </cell>
          <cell r="CO36">
            <v>17760000</v>
          </cell>
          <cell r="CP36">
            <v>460000</v>
          </cell>
          <cell r="CZ36">
            <v>7601664</v>
          </cell>
          <cell r="DA36">
            <v>17760000</v>
          </cell>
          <cell r="DL36">
            <v>7601664</v>
          </cell>
          <cell r="DM36">
            <v>17760000</v>
          </cell>
        </row>
        <row r="37">
          <cell r="H37">
            <v>0</v>
          </cell>
          <cell r="I37">
            <v>2904000</v>
          </cell>
          <cell r="J37">
            <v>0</v>
          </cell>
          <cell r="T37">
            <v>0</v>
          </cell>
          <cell r="U37">
            <v>0</v>
          </cell>
          <cell r="W37">
            <v>6900000</v>
          </cell>
          <cell r="AF37">
            <v>0</v>
          </cell>
          <cell r="AG37">
            <v>0</v>
          </cell>
          <cell r="AH37">
            <v>6900000</v>
          </cell>
          <cell r="AR37">
            <v>23280096</v>
          </cell>
          <cell r="AS37">
            <v>0</v>
          </cell>
          <cell r="AT37">
            <v>40710000</v>
          </cell>
          <cell r="BD37">
            <v>23280096</v>
          </cell>
          <cell r="BE37">
            <v>0</v>
          </cell>
          <cell r="BF37">
            <v>40710000</v>
          </cell>
          <cell r="BP37">
            <v>23280096</v>
          </cell>
          <cell r="BQ37">
            <v>0</v>
          </cell>
          <cell r="CB37">
            <v>23280096</v>
          </cell>
          <cell r="CC37">
            <v>0</v>
          </cell>
          <cell r="CD37">
            <v>33810000</v>
          </cell>
          <cell r="CN37">
            <v>23280096</v>
          </cell>
          <cell r="CO37">
            <v>0</v>
          </cell>
          <cell r="CP37">
            <v>33810000</v>
          </cell>
          <cell r="CZ37">
            <v>23280096</v>
          </cell>
          <cell r="DA37">
            <v>0</v>
          </cell>
          <cell r="DL37">
            <v>23280096</v>
          </cell>
          <cell r="DM37">
            <v>0</v>
          </cell>
        </row>
        <row r="38">
          <cell r="H38">
            <v>0</v>
          </cell>
          <cell r="I38">
            <v>0</v>
          </cell>
          <cell r="J38">
            <v>0</v>
          </cell>
          <cell r="T38">
            <v>0</v>
          </cell>
          <cell r="U38">
            <v>0</v>
          </cell>
          <cell r="W38">
            <v>0</v>
          </cell>
          <cell r="AF38">
            <v>0</v>
          </cell>
          <cell r="AG38">
            <v>228000</v>
          </cell>
          <cell r="AH38">
            <v>0</v>
          </cell>
          <cell r="AR38">
            <v>30406656</v>
          </cell>
          <cell r="AS38">
            <v>0</v>
          </cell>
          <cell r="AT38">
            <v>33695000</v>
          </cell>
          <cell r="BD38">
            <v>30406656</v>
          </cell>
          <cell r="BE38">
            <v>0</v>
          </cell>
          <cell r="BF38">
            <v>14145000</v>
          </cell>
          <cell r="BP38">
            <v>28506240</v>
          </cell>
          <cell r="BQ38">
            <v>0</v>
          </cell>
          <cell r="CB38">
            <v>28506240</v>
          </cell>
          <cell r="CC38">
            <v>0</v>
          </cell>
          <cell r="CD38">
            <v>13110000</v>
          </cell>
          <cell r="CN38">
            <v>28506240</v>
          </cell>
          <cell r="CO38">
            <v>0</v>
          </cell>
          <cell r="CP38">
            <v>12650000</v>
          </cell>
          <cell r="CZ38">
            <v>28506240</v>
          </cell>
          <cell r="DA38">
            <v>0</v>
          </cell>
          <cell r="DL38">
            <v>28506240</v>
          </cell>
          <cell r="DM38">
            <v>0</v>
          </cell>
        </row>
        <row r="39">
          <cell r="H39">
            <v>45220</v>
          </cell>
          <cell r="I39">
            <v>4320000</v>
          </cell>
          <cell r="J39">
            <v>0</v>
          </cell>
          <cell r="T39">
            <v>45220</v>
          </cell>
          <cell r="U39">
            <v>4500000</v>
          </cell>
          <cell r="V39">
            <v>0</v>
          </cell>
          <cell r="AF39">
            <v>45220</v>
          </cell>
          <cell r="AG39">
            <v>4680000</v>
          </cell>
          <cell r="AH39">
            <v>0</v>
          </cell>
          <cell r="AR39">
            <v>45220</v>
          </cell>
          <cell r="AS39">
            <v>6216000</v>
          </cell>
          <cell r="AT39">
            <v>0</v>
          </cell>
          <cell r="BD39">
            <v>45220</v>
          </cell>
          <cell r="BE39">
            <v>5040000</v>
          </cell>
          <cell r="BF39">
            <v>0</v>
          </cell>
          <cell r="BP39">
            <v>45220</v>
          </cell>
          <cell r="BQ39">
            <v>6768000</v>
          </cell>
          <cell r="CB39">
            <v>45220</v>
          </cell>
          <cell r="CC39">
            <v>7080000</v>
          </cell>
          <cell r="CD39">
            <v>0</v>
          </cell>
          <cell r="CN39">
            <v>45220</v>
          </cell>
          <cell r="CO39">
            <v>5760000</v>
          </cell>
          <cell r="CP39">
            <v>0</v>
          </cell>
          <cell r="CZ39">
            <v>45220</v>
          </cell>
          <cell r="DA39">
            <v>5760000</v>
          </cell>
          <cell r="DL39">
            <v>45220</v>
          </cell>
          <cell r="DM39">
            <v>7296000</v>
          </cell>
        </row>
        <row r="40">
          <cell r="H40">
            <v>0</v>
          </cell>
          <cell r="I40">
            <v>0</v>
          </cell>
          <cell r="J40">
            <v>0</v>
          </cell>
          <cell r="T40">
            <v>41056904</v>
          </cell>
          <cell r="U40">
            <v>23758800</v>
          </cell>
          <cell r="V40">
            <v>0</v>
          </cell>
          <cell r="AF40">
            <v>41056904</v>
          </cell>
          <cell r="AG40">
            <v>20772000</v>
          </cell>
          <cell r="AH40">
            <v>0</v>
          </cell>
          <cell r="AR40">
            <v>41056904</v>
          </cell>
          <cell r="AS40">
            <v>20772000</v>
          </cell>
          <cell r="AT40">
            <v>0</v>
          </cell>
          <cell r="BD40">
            <v>41056904</v>
          </cell>
          <cell r="BE40">
            <v>20772000</v>
          </cell>
          <cell r="BF40">
            <v>0</v>
          </cell>
          <cell r="BP40">
            <v>41056904</v>
          </cell>
          <cell r="BQ40">
            <v>0</v>
          </cell>
          <cell r="CB40">
            <v>41056904</v>
          </cell>
          <cell r="CC40">
            <v>0</v>
          </cell>
          <cell r="CD40">
            <v>0</v>
          </cell>
          <cell r="CN40">
            <v>41056904</v>
          </cell>
          <cell r="CO40">
            <v>0</v>
          </cell>
          <cell r="CP40">
            <v>0</v>
          </cell>
          <cell r="CZ40">
            <v>41056904</v>
          </cell>
          <cell r="DA40">
            <v>0</v>
          </cell>
          <cell r="DL40">
            <v>41056904</v>
          </cell>
          <cell r="DM40">
            <v>1368000</v>
          </cell>
        </row>
        <row r="41">
          <cell r="H41">
            <v>0</v>
          </cell>
          <cell r="I41">
            <v>912000</v>
          </cell>
          <cell r="J41">
            <v>0</v>
          </cell>
          <cell r="T41">
            <v>0</v>
          </cell>
          <cell r="U41">
            <v>3434400</v>
          </cell>
          <cell r="V41">
            <v>0</v>
          </cell>
          <cell r="AF41">
            <v>135520</v>
          </cell>
          <cell r="AG41">
            <v>1596000</v>
          </cell>
          <cell r="AH41">
            <v>0</v>
          </cell>
          <cell r="AR41">
            <v>0</v>
          </cell>
          <cell r="AS41">
            <v>0</v>
          </cell>
          <cell r="AT41">
            <v>0</v>
          </cell>
          <cell r="BD41">
            <v>0</v>
          </cell>
          <cell r="BE41">
            <v>0</v>
          </cell>
          <cell r="BF41">
            <v>0</v>
          </cell>
          <cell r="BP41">
            <v>0</v>
          </cell>
          <cell r="BQ41">
            <v>0</v>
          </cell>
          <cell r="CB41">
            <v>0</v>
          </cell>
          <cell r="CC41">
            <v>0</v>
          </cell>
          <cell r="CD41">
            <v>0</v>
          </cell>
          <cell r="CN41">
            <v>0</v>
          </cell>
          <cell r="CO41">
            <v>0</v>
          </cell>
          <cell r="CP41">
            <v>0</v>
          </cell>
          <cell r="CZ41">
            <v>0</v>
          </cell>
          <cell r="DA41">
            <v>0</v>
          </cell>
          <cell r="DL41">
            <v>0</v>
          </cell>
          <cell r="DM41">
            <v>0</v>
          </cell>
        </row>
        <row r="43">
          <cell r="H43">
            <v>0</v>
          </cell>
          <cell r="I43">
            <v>0</v>
          </cell>
          <cell r="J43">
            <v>0</v>
          </cell>
          <cell r="T43">
            <v>79184</v>
          </cell>
          <cell r="U43">
            <v>6911400</v>
          </cell>
          <cell r="V43">
            <v>0</v>
          </cell>
          <cell r="AF43">
            <v>12271952</v>
          </cell>
          <cell r="AG43">
            <v>9609664.8000000007</v>
          </cell>
          <cell r="AH43">
            <v>0</v>
          </cell>
          <cell r="AR43">
            <v>79184</v>
          </cell>
          <cell r="AS43">
            <v>6683400</v>
          </cell>
          <cell r="AT43">
            <v>0</v>
          </cell>
          <cell r="BD43">
            <v>79184</v>
          </cell>
          <cell r="BE43">
            <v>6683400</v>
          </cell>
          <cell r="BP43">
            <v>0</v>
          </cell>
          <cell r="BQ43">
            <v>0</v>
          </cell>
          <cell r="BR43">
            <v>0</v>
          </cell>
          <cell r="CB43">
            <v>0</v>
          </cell>
          <cell r="CC43">
            <v>0</v>
          </cell>
          <cell r="CD43">
            <v>0</v>
          </cell>
          <cell r="CN43">
            <v>0</v>
          </cell>
          <cell r="CO43">
            <v>0</v>
          </cell>
          <cell r="CP43">
            <v>0</v>
          </cell>
          <cell r="CZ43">
            <v>0</v>
          </cell>
          <cell r="DA43">
            <v>0</v>
          </cell>
          <cell r="DB43">
            <v>0</v>
          </cell>
          <cell r="DL43">
            <v>0</v>
          </cell>
          <cell r="DM43">
            <v>0</v>
          </cell>
          <cell r="DN43">
            <v>0</v>
          </cell>
        </row>
        <row r="45">
          <cell r="H45">
            <v>271320</v>
          </cell>
          <cell r="I45">
            <v>0</v>
          </cell>
          <cell r="J45">
            <v>4025000</v>
          </cell>
          <cell r="T45">
            <v>588056</v>
          </cell>
          <cell r="U45">
            <v>13356000</v>
          </cell>
          <cell r="V45">
            <v>4025000</v>
          </cell>
          <cell r="AF45">
            <v>5696600</v>
          </cell>
          <cell r="AG45">
            <v>5832000</v>
          </cell>
          <cell r="AH45">
            <v>4025000</v>
          </cell>
          <cell r="AR45">
            <v>271320</v>
          </cell>
          <cell r="AS45">
            <v>0</v>
          </cell>
          <cell r="AT45">
            <v>4025000</v>
          </cell>
          <cell r="BD45">
            <v>271320</v>
          </cell>
          <cell r="BE45">
            <v>0</v>
          </cell>
          <cell r="BF45">
            <v>4025000</v>
          </cell>
          <cell r="BP45">
            <v>0</v>
          </cell>
          <cell r="BQ45">
            <v>0</v>
          </cell>
          <cell r="BR45">
            <v>0</v>
          </cell>
          <cell r="CB45">
            <v>4341120</v>
          </cell>
          <cell r="CC45">
            <v>5832000</v>
          </cell>
          <cell r="CD45">
            <v>0</v>
          </cell>
          <cell r="CN45">
            <v>0</v>
          </cell>
          <cell r="CO45">
            <v>0</v>
          </cell>
          <cell r="CP45">
            <v>0</v>
          </cell>
          <cell r="CZ45">
            <v>0</v>
          </cell>
          <cell r="DA45">
            <v>0</v>
          </cell>
          <cell r="DB45">
            <v>0</v>
          </cell>
          <cell r="DL45">
            <v>0</v>
          </cell>
          <cell r="DM45">
            <v>0</v>
          </cell>
          <cell r="DN45">
            <v>0</v>
          </cell>
        </row>
        <row r="46">
          <cell r="H46">
            <v>0</v>
          </cell>
          <cell r="I46">
            <v>0</v>
          </cell>
          <cell r="J46">
            <v>0</v>
          </cell>
          <cell r="T46">
            <v>158368</v>
          </cell>
          <cell r="U46">
            <v>2115600</v>
          </cell>
          <cell r="V46">
            <v>0</v>
          </cell>
          <cell r="AF46">
            <v>542080</v>
          </cell>
          <cell r="AH46">
            <v>0</v>
          </cell>
          <cell r="AR46">
            <v>0</v>
          </cell>
          <cell r="AS46">
            <v>1824000</v>
          </cell>
          <cell r="AT46">
            <v>0</v>
          </cell>
          <cell r="BD46">
            <v>2375520</v>
          </cell>
          <cell r="BE46">
            <v>7479600</v>
          </cell>
          <cell r="BF46">
            <v>0</v>
          </cell>
          <cell r="BP46">
            <v>2375520</v>
          </cell>
          <cell r="BQ46">
            <v>7479600</v>
          </cell>
          <cell r="BR46">
            <v>0</v>
          </cell>
          <cell r="CB46">
            <v>2375520</v>
          </cell>
          <cell r="CC46">
            <v>7479600</v>
          </cell>
          <cell r="CD46">
            <v>0</v>
          </cell>
          <cell r="CN46">
            <v>2375520</v>
          </cell>
          <cell r="CO46">
            <v>7479600</v>
          </cell>
          <cell r="CP46">
            <v>0</v>
          </cell>
          <cell r="CZ46">
            <v>0</v>
          </cell>
          <cell r="DA46">
            <v>0</v>
          </cell>
          <cell r="DB46">
            <v>0</v>
          </cell>
          <cell r="DL46">
            <v>0</v>
          </cell>
          <cell r="DM46">
            <v>0</v>
          </cell>
          <cell r="DN46">
            <v>0</v>
          </cell>
        </row>
        <row r="48">
          <cell r="H48">
            <v>0</v>
          </cell>
          <cell r="I48">
            <v>2280000</v>
          </cell>
          <cell r="J48">
            <v>0</v>
          </cell>
          <cell r="T48">
            <v>0</v>
          </cell>
          <cell r="U48">
            <v>25452000</v>
          </cell>
          <cell r="V48">
            <v>0</v>
          </cell>
          <cell r="AF48">
            <v>0</v>
          </cell>
          <cell r="AG48">
            <v>25452000</v>
          </cell>
          <cell r="AH48">
            <v>0</v>
          </cell>
          <cell r="AR48">
            <v>0</v>
          </cell>
          <cell r="AS48">
            <v>25452000</v>
          </cell>
          <cell r="AT48">
            <v>0</v>
          </cell>
          <cell r="BD48">
            <v>0</v>
          </cell>
          <cell r="BE48">
            <v>25452000</v>
          </cell>
          <cell r="BF48">
            <v>0</v>
          </cell>
        </row>
        <row r="49">
          <cell r="H49">
            <v>11917192</v>
          </cell>
          <cell r="I49">
            <v>4940400</v>
          </cell>
          <cell r="J49">
            <v>0</v>
          </cell>
          <cell r="T49">
            <v>11917192</v>
          </cell>
          <cell r="U49">
            <v>684000</v>
          </cell>
          <cell r="V49">
            <v>0</v>
          </cell>
          <cell r="AF49">
            <v>16668232</v>
          </cell>
          <cell r="AG49">
            <v>2682000</v>
          </cell>
          <cell r="AH49">
            <v>0</v>
          </cell>
          <cell r="AR49">
            <v>16668232</v>
          </cell>
          <cell r="AS49">
            <v>2682000</v>
          </cell>
          <cell r="AT49">
            <v>0</v>
          </cell>
          <cell r="BD49">
            <v>16668232</v>
          </cell>
          <cell r="BE49">
            <v>2682000</v>
          </cell>
          <cell r="BF49">
            <v>0</v>
          </cell>
        </row>
        <row r="52">
          <cell r="H52">
            <v>1718360</v>
          </cell>
          <cell r="I52">
            <v>0</v>
          </cell>
          <cell r="J52">
            <v>0</v>
          </cell>
          <cell r="T52">
            <v>677600</v>
          </cell>
          <cell r="U52">
            <v>0</v>
          </cell>
        </row>
        <row r="53">
          <cell r="H53">
            <v>0</v>
          </cell>
          <cell r="I53">
            <v>0</v>
          </cell>
          <cell r="T53">
            <v>4988592</v>
          </cell>
          <cell r="U53">
            <v>0</v>
          </cell>
          <cell r="AF53">
            <v>4988592</v>
          </cell>
          <cell r="AG53">
            <v>0</v>
          </cell>
          <cell r="AR53">
            <v>4988592</v>
          </cell>
          <cell r="AS53">
            <v>0</v>
          </cell>
          <cell r="BD53">
            <v>4988592</v>
          </cell>
          <cell r="BE53">
            <v>0</v>
          </cell>
        </row>
        <row r="55">
          <cell r="T55">
            <v>0</v>
          </cell>
          <cell r="U55">
            <v>23256000</v>
          </cell>
          <cell r="AF55">
            <v>1330291.2</v>
          </cell>
          <cell r="AG55">
            <v>2184000</v>
          </cell>
        </row>
        <row r="57">
          <cell r="T57">
            <v>4988592</v>
          </cell>
          <cell r="U57">
            <v>0</v>
          </cell>
          <cell r="AF57">
            <v>4988592</v>
          </cell>
          <cell r="AG57">
            <v>0</v>
          </cell>
          <cell r="AR57">
            <v>4988592</v>
          </cell>
          <cell r="AS57">
            <v>0</v>
          </cell>
          <cell r="BD57">
            <v>4988592</v>
          </cell>
          <cell r="BE57">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andard_Cost"/>
      <sheetName val="Incremental_Cost Year 2"/>
      <sheetName val="Incremental_Cost Year 3"/>
      <sheetName val="Incremental_Cost Year 4"/>
      <sheetName val="Incremental_Cost Year 5"/>
      <sheetName val="Summary for IPSIS"/>
      <sheetName val="Incremental_Cost Year 11"/>
      <sheetName val="Sheet1"/>
    </sheetNames>
    <sheetDataSet>
      <sheetData sheetId="0"/>
      <sheetData sheetId="1"/>
      <sheetData sheetId="2"/>
      <sheetData sheetId="3"/>
      <sheetData sheetId="4"/>
      <sheetData sheetId="5">
        <row r="8">
          <cell r="H8">
            <v>994000</v>
          </cell>
        </row>
        <row r="132">
          <cell r="AH132">
            <v>0</v>
          </cell>
          <cell r="AR132">
            <v>0</v>
          </cell>
          <cell r="AS132">
            <v>0</v>
          </cell>
          <cell r="AT132">
            <v>0</v>
          </cell>
        </row>
        <row r="133">
          <cell r="AH133">
            <v>0</v>
          </cell>
          <cell r="AT133">
            <v>0</v>
          </cell>
        </row>
        <row r="144">
          <cell r="J144">
            <v>0</v>
          </cell>
          <cell r="V144">
            <v>0</v>
          </cell>
          <cell r="AH144">
            <v>0</v>
          </cell>
          <cell r="AT144">
            <v>0</v>
          </cell>
          <cell r="BF144">
            <v>0</v>
          </cell>
        </row>
        <row r="148">
          <cell r="J148">
            <v>0</v>
          </cell>
          <cell r="V148">
            <v>0</v>
          </cell>
          <cell r="AH148">
            <v>0</v>
          </cell>
          <cell r="AT148">
            <v>0</v>
          </cell>
          <cell r="BF148">
            <v>0</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I101"/>
  <sheetViews>
    <sheetView topLeftCell="A5" zoomScale="50" zoomScaleNormal="50" zoomScaleSheetLayoutView="87" workbookViewId="0">
      <selection activeCell="G12" sqref="G12"/>
    </sheetView>
  </sheetViews>
  <sheetFormatPr defaultColWidth="8.85546875" defaultRowHeight="12" x14ac:dyDescent="0.2"/>
  <cols>
    <col min="1" max="1" width="2.42578125" style="7" customWidth="1"/>
    <col min="2" max="2" width="9.42578125" style="43" customWidth="1"/>
    <col min="3" max="3" width="59.85546875" style="7" customWidth="1"/>
    <col min="4" max="4" width="19.42578125" style="7" hidden="1" customWidth="1"/>
    <col min="5" max="5" width="19.42578125" style="7" customWidth="1"/>
    <col min="6" max="6" width="15.5703125" style="47" customWidth="1"/>
    <col min="7" max="7" width="19.140625" style="47" customWidth="1"/>
    <col min="8" max="8" width="12.5703125" style="8" customWidth="1"/>
    <col min="9" max="9" width="12.28515625" style="8" customWidth="1"/>
    <col min="10" max="10" width="16.28515625" style="21" customWidth="1"/>
    <col min="11" max="11" width="16" style="21" customWidth="1"/>
    <col min="12" max="12" width="17" style="28" customWidth="1"/>
    <col min="13" max="13" width="16.28515625" style="21" customWidth="1"/>
    <col min="14" max="14" width="14.28515625" style="21" customWidth="1"/>
    <col min="15" max="15" width="15.28515625" style="28" customWidth="1"/>
    <col min="16" max="16" width="16.42578125" style="21" customWidth="1"/>
    <col min="17" max="17" width="15.7109375" style="28" customWidth="1"/>
    <col min="18" max="18" width="15.85546875" style="28" customWidth="1"/>
    <col min="19" max="19" width="16.7109375" style="21" customWidth="1"/>
    <col min="20" max="20" width="15.5703125" style="28" customWidth="1"/>
    <col min="21" max="21" width="16.7109375" style="28" customWidth="1"/>
    <col min="22" max="22" width="18.7109375" style="21" customWidth="1"/>
    <col min="23" max="23" width="15.42578125" style="28" customWidth="1"/>
    <col min="24" max="39" width="16.42578125" style="28" customWidth="1"/>
    <col min="40" max="40" width="18.7109375" style="28" customWidth="1"/>
    <col min="41" max="41" width="18" style="28" customWidth="1"/>
    <col min="42" max="42" width="18.7109375" style="28" customWidth="1"/>
    <col min="43" max="43" width="16.7109375" style="21" customWidth="1"/>
    <col min="44" max="44" width="17.28515625" style="28" customWidth="1"/>
    <col min="45" max="45" width="18.7109375" style="28" customWidth="1"/>
    <col min="46" max="46" width="16.140625" style="21" customWidth="1"/>
    <col min="47" max="48" width="15.5703125" style="28" customWidth="1"/>
    <col min="49" max="49" width="15.140625" style="28" customWidth="1"/>
    <col min="50" max="50" width="15.28515625" style="21" customWidth="1"/>
    <col min="51" max="51" width="15.5703125" style="28" customWidth="1"/>
    <col min="52" max="52" width="16.7109375" style="28" customWidth="1"/>
    <col min="53" max="53" width="18" style="28" customWidth="1"/>
    <col min="54" max="54" width="15.28515625" style="16" customWidth="1"/>
    <col min="55" max="55" width="13.5703125" style="16" customWidth="1"/>
    <col min="56" max="56" width="18" style="16" customWidth="1"/>
    <col min="57" max="57" width="16.7109375" style="16" customWidth="1"/>
    <col min="58" max="58" width="15.140625" style="16" customWidth="1"/>
    <col min="59" max="59" width="16.5703125" style="16" customWidth="1"/>
    <col min="60" max="60" width="15.5703125" style="16" customWidth="1"/>
    <col min="61" max="61" width="8.85546875" style="16"/>
    <col min="62" max="16384" width="8.85546875" style="7"/>
  </cols>
  <sheetData>
    <row r="1" spans="2:61" ht="12.75" thickBot="1" x14ac:dyDescent="0.25">
      <c r="C1" s="6"/>
      <c r="D1" s="6"/>
      <c r="E1" s="6"/>
      <c r="F1" s="43"/>
    </row>
    <row r="2" spans="2:61" ht="39" customHeight="1" thickBot="1" x14ac:dyDescent="0.25">
      <c r="B2" s="283" t="s">
        <v>106</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5"/>
    </row>
    <row r="3" spans="2:61" ht="39" customHeight="1" thickBot="1" x14ac:dyDescent="0.25">
      <c r="B3" s="283" t="s">
        <v>107</v>
      </c>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8"/>
    </row>
    <row r="4" spans="2:61" ht="43.5" customHeight="1" thickBot="1" x14ac:dyDescent="0.25">
      <c r="B4" s="286" t="s">
        <v>317</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8"/>
    </row>
    <row r="5" spans="2:61" ht="30.75" customHeight="1" x14ac:dyDescent="0.2">
      <c r="B5" s="263" t="s">
        <v>0</v>
      </c>
      <c r="C5" s="269" t="s">
        <v>32</v>
      </c>
      <c r="D5" s="269" t="s">
        <v>1</v>
      </c>
      <c r="E5" s="132" t="s">
        <v>33</v>
      </c>
      <c r="F5" s="269" t="s">
        <v>99</v>
      </c>
      <c r="G5" s="269"/>
      <c r="H5" s="289" t="s">
        <v>37</v>
      </c>
      <c r="I5" s="289"/>
      <c r="J5" s="272" t="s">
        <v>40</v>
      </c>
      <c r="K5" s="272"/>
      <c r="L5" s="272"/>
      <c r="M5" s="272" t="s">
        <v>41</v>
      </c>
      <c r="N5" s="272"/>
      <c r="O5" s="272"/>
      <c r="P5" s="272" t="s">
        <v>42</v>
      </c>
      <c r="Q5" s="275"/>
      <c r="R5" s="275"/>
      <c r="S5" s="273" t="s">
        <v>43</v>
      </c>
      <c r="T5" s="273"/>
      <c r="U5" s="273"/>
      <c r="V5" s="273" t="s">
        <v>44</v>
      </c>
      <c r="W5" s="273"/>
      <c r="X5" s="273"/>
      <c r="Y5" s="273" t="s">
        <v>108</v>
      </c>
      <c r="Z5" s="273"/>
      <c r="AA5" s="273"/>
      <c r="AB5" s="273" t="s">
        <v>109</v>
      </c>
      <c r="AC5" s="273"/>
      <c r="AD5" s="273"/>
      <c r="AE5" s="273" t="s">
        <v>110</v>
      </c>
      <c r="AF5" s="273"/>
      <c r="AG5" s="273"/>
      <c r="AH5" s="273" t="s">
        <v>111</v>
      </c>
      <c r="AI5" s="273"/>
      <c r="AJ5" s="273"/>
      <c r="AK5" s="273" t="s">
        <v>112</v>
      </c>
      <c r="AL5" s="273"/>
      <c r="AM5" s="273"/>
      <c r="AN5" s="273" t="s">
        <v>45</v>
      </c>
      <c r="AO5" s="275"/>
      <c r="AP5" s="275"/>
      <c r="AQ5" s="272" t="s">
        <v>46</v>
      </c>
      <c r="AR5" s="272"/>
      <c r="AS5" s="272"/>
      <c r="AT5" s="272"/>
      <c r="AU5" s="272"/>
      <c r="AV5" s="272"/>
      <c r="AW5" s="272"/>
      <c r="AX5" s="272" t="s">
        <v>52</v>
      </c>
      <c r="AY5" s="278"/>
      <c r="AZ5" s="278"/>
      <c r="BA5" s="299" t="s">
        <v>53</v>
      </c>
    </row>
    <row r="6" spans="2:61" ht="48" customHeight="1" x14ac:dyDescent="0.2">
      <c r="B6" s="264"/>
      <c r="C6" s="267"/>
      <c r="D6" s="267"/>
      <c r="E6" s="267" t="s">
        <v>34</v>
      </c>
      <c r="F6" s="279" t="s">
        <v>35</v>
      </c>
      <c r="G6" s="279" t="s">
        <v>36</v>
      </c>
      <c r="H6" s="281" t="s">
        <v>38</v>
      </c>
      <c r="I6" s="281" t="s">
        <v>38</v>
      </c>
      <c r="J6" s="270"/>
      <c r="K6" s="270"/>
      <c r="L6" s="270"/>
      <c r="M6" s="270"/>
      <c r="N6" s="270"/>
      <c r="O6" s="270"/>
      <c r="P6" s="276"/>
      <c r="Q6" s="276"/>
      <c r="R6" s="276"/>
      <c r="S6" s="274"/>
      <c r="T6" s="274"/>
      <c r="U6" s="274"/>
      <c r="V6" s="274"/>
      <c r="W6" s="274"/>
      <c r="X6" s="274"/>
      <c r="Y6" s="274"/>
      <c r="Z6" s="274"/>
      <c r="AA6" s="274"/>
      <c r="AB6" s="274"/>
      <c r="AC6" s="274"/>
      <c r="AD6" s="274"/>
      <c r="AE6" s="274"/>
      <c r="AF6" s="274"/>
      <c r="AG6" s="274"/>
      <c r="AH6" s="274"/>
      <c r="AI6" s="274"/>
      <c r="AJ6" s="274"/>
      <c r="AK6" s="274"/>
      <c r="AL6" s="274"/>
      <c r="AM6" s="274"/>
      <c r="AN6" s="276"/>
      <c r="AO6" s="276"/>
      <c r="AP6" s="276"/>
      <c r="AQ6" s="270" t="s">
        <v>48</v>
      </c>
      <c r="AR6" s="271"/>
      <c r="AS6" s="271"/>
      <c r="AT6" s="270" t="s">
        <v>49</v>
      </c>
      <c r="AU6" s="290"/>
      <c r="AV6" s="290"/>
      <c r="AW6" s="290"/>
      <c r="AX6" s="277" t="s">
        <v>113</v>
      </c>
      <c r="AY6" s="277"/>
      <c r="AZ6" s="277"/>
      <c r="BA6" s="300"/>
    </row>
    <row r="7" spans="2:61" ht="57.6" customHeight="1" thickBot="1" x14ac:dyDescent="0.25">
      <c r="B7" s="265"/>
      <c r="C7" s="294"/>
      <c r="D7" s="294"/>
      <c r="E7" s="294"/>
      <c r="F7" s="292"/>
      <c r="G7" s="292"/>
      <c r="H7" s="293"/>
      <c r="I7" s="293"/>
      <c r="J7" s="156" t="s">
        <v>11</v>
      </c>
      <c r="K7" s="157" t="s">
        <v>12</v>
      </c>
      <c r="L7" s="157" t="s">
        <v>39</v>
      </c>
      <c r="M7" s="156" t="s">
        <v>11</v>
      </c>
      <c r="N7" s="157" t="s">
        <v>12</v>
      </c>
      <c r="O7" s="157" t="s">
        <v>16</v>
      </c>
      <c r="P7" s="156" t="s">
        <v>11</v>
      </c>
      <c r="Q7" s="157" t="s">
        <v>12</v>
      </c>
      <c r="R7" s="157" t="s">
        <v>16</v>
      </c>
      <c r="S7" s="156" t="s">
        <v>11</v>
      </c>
      <c r="T7" s="157" t="s">
        <v>12</v>
      </c>
      <c r="U7" s="157" t="s">
        <v>16</v>
      </c>
      <c r="V7" s="156" t="s">
        <v>11</v>
      </c>
      <c r="W7" s="157" t="s">
        <v>12</v>
      </c>
      <c r="X7" s="157" t="s">
        <v>16</v>
      </c>
      <c r="Y7" s="156" t="s">
        <v>11</v>
      </c>
      <c r="Z7" s="157" t="s">
        <v>12</v>
      </c>
      <c r="AA7" s="157" t="s">
        <v>16</v>
      </c>
      <c r="AB7" s="156" t="s">
        <v>11</v>
      </c>
      <c r="AC7" s="157" t="s">
        <v>12</v>
      </c>
      <c r="AD7" s="157" t="s">
        <v>16</v>
      </c>
      <c r="AE7" s="156" t="s">
        <v>11</v>
      </c>
      <c r="AF7" s="157" t="s">
        <v>12</v>
      </c>
      <c r="AG7" s="157" t="s">
        <v>16</v>
      </c>
      <c r="AH7" s="156" t="s">
        <v>11</v>
      </c>
      <c r="AI7" s="157" t="s">
        <v>12</v>
      </c>
      <c r="AJ7" s="157" t="s">
        <v>16</v>
      </c>
      <c r="AK7" s="156" t="s">
        <v>11</v>
      </c>
      <c r="AL7" s="157" t="s">
        <v>12</v>
      </c>
      <c r="AM7" s="157" t="s">
        <v>16</v>
      </c>
      <c r="AN7" s="157" t="s">
        <v>11</v>
      </c>
      <c r="AO7" s="157" t="s">
        <v>12</v>
      </c>
      <c r="AP7" s="157" t="s">
        <v>16</v>
      </c>
      <c r="AQ7" s="156" t="s">
        <v>11</v>
      </c>
      <c r="AR7" s="157" t="s">
        <v>12</v>
      </c>
      <c r="AS7" s="157" t="s">
        <v>47</v>
      </c>
      <c r="AT7" s="156" t="s">
        <v>11</v>
      </c>
      <c r="AU7" s="157" t="s">
        <v>12</v>
      </c>
      <c r="AV7" s="157" t="s">
        <v>50</v>
      </c>
      <c r="AW7" s="157" t="s">
        <v>51</v>
      </c>
      <c r="AX7" s="156" t="s">
        <v>11</v>
      </c>
      <c r="AY7" s="157" t="s">
        <v>12</v>
      </c>
      <c r="AZ7" s="157" t="s">
        <v>47</v>
      </c>
      <c r="BA7" s="158"/>
    </row>
    <row r="8" spans="2:61" ht="52.9" customHeight="1" x14ac:dyDescent="0.2">
      <c r="B8" s="201" t="s">
        <v>115</v>
      </c>
      <c r="C8" s="260" t="s">
        <v>114</v>
      </c>
      <c r="D8" s="261"/>
      <c r="E8" s="159"/>
      <c r="F8" s="57"/>
      <c r="G8" s="57"/>
      <c r="H8" s="58"/>
      <c r="I8" s="58"/>
      <c r="J8" s="244"/>
      <c r="K8" s="244"/>
      <c r="L8" s="245"/>
      <c r="M8" s="56"/>
      <c r="N8" s="56"/>
      <c r="O8" s="54"/>
      <c r="P8" s="245"/>
      <c r="Q8" s="245"/>
      <c r="R8" s="245"/>
      <c r="S8" s="160"/>
      <c r="T8" s="54"/>
      <c r="U8" s="54"/>
      <c r="V8" s="245"/>
      <c r="W8" s="245"/>
      <c r="X8" s="245"/>
      <c r="Y8" s="54"/>
      <c r="Z8" s="54"/>
      <c r="AA8" s="54"/>
      <c r="AB8" s="245"/>
      <c r="AC8" s="245"/>
      <c r="AD8" s="245"/>
      <c r="AE8" s="54"/>
      <c r="AF8" s="54"/>
      <c r="AG8" s="54"/>
      <c r="AH8" s="245"/>
      <c r="AI8" s="245"/>
      <c r="AJ8" s="245"/>
      <c r="AK8" s="54"/>
      <c r="AL8" s="54"/>
      <c r="AM8" s="54"/>
      <c r="AN8" s="245"/>
      <c r="AO8" s="245"/>
      <c r="AP8" s="245"/>
      <c r="AQ8" s="160"/>
      <c r="AR8" s="54"/>
      <c r="AS8" s="54"/>
      <c r="AT8" s="245"/>
      <c r="AU8" s="245"/>
      <c r="AV8" s="245"/>
      <c r="AW8" s="54"/>
      <c r="AX8" s="160"/>
      <c r="AY8" s="54"/>
      <c r="AZ8" s="54"/>
      <c r="BA8" s="55"/>
    </row>
    <row r="9" spans="2:61" ht="27.6" customHeight="1" x14ac:dyDescent="0.2">
      <c r="B9" s="208"/>
      <c r="C9" s="209" t="s">
        <v>56</v>
      </c>
      <c r="D9" s="210"/>
      <c r="E9" s="210"/>
      <c r="F9" s="211"/>
      <c r="G9" s="211"/>
      <c r="H9" s="211"/>
      <c r="I9" s="211"/>
      <c r="J9" s="212"/>
      <c r="K9" s="212"/>
      <c r="L9" s="213"/>
      <c r="M9" s="212"/>
      <c r="N9" s="212"/>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4"/>
    </row>
    <row r="10" spans="2:61" ht="52.9" customHeight="1" x14ac:dyDescent="0.2">
      <c r="B10" s="202" t="s">
        <v>116</v>
      </c>
      <c r="C10" s="145" t="s">
        <v>122</v>
      </c>
      <c r="D10" s="76"/>
      <c r="E10" s="146" t="s">
        <v>117</v>
      </c>
      <c r="F10" s="9" t="s">
        <v>58</v>
      </c>
      <c r="G10" s="9" t="s">
        <v>118</v>
      </c>
      <c r="H10" s="218" t="s">
        <v>119</v>
      </c>
      <c r="I10" s="219" t="s">
        <v>120</v>
      </c>
      <c r="J10" s="22">
        <f>'[1]Summary for IPSIS'!$H$8+'[1]Summary for IPSIS'!$I$8</f>
        <v>576064</v>
      </c>
      <c r="K10" s="22">
        <f>'[1]Summary for IPSIS'!$J$8</f>
        <v>0</v>
      </c>
      <c r="L10" s="23">
        <f>J10+K10</f>
        <v>576064</v>
      </c>
      <c r="M10" s="22">
        <f>'[1]Summary for IPSIS'!$T$8+'[1]Summary for IPSIS'!$U$8</f>
        <v>3815488</v>
      </c>
      <c r="N10" s="22">
        <f>'[1]Summary for IPSIS'!$V$8</f>
        <v>0</v>
      </c>
      <c r="O10" s="23">
        <f>'[1]Summary for IPSIS'!$T$8+'[1]Summary for IPSIS'!$U$8</f>
        <v>3815488</v>
      </c>
      <c r="P10" s="24">
        <f>'[1]Summary for IPSIS'!$AF$8+'[1]Summary for IPSIS'!$AG$8</f>
        <v>3242329.6</v>
      </c>
      <c r="Q10" s="23">
        <f>'[1]Summary for IPSIS'!$AH$8</f>
        <v>0</v>
      </c>
      <c r="R10" s="23">
        <f>P10+Q10</f>
        <v>3242329.6</v>
      </c>
      <c r="S10" s="24">
        <f>'[1]Summary for IPSIS'!$AR$8+'[1]Summary for IPSIS'!$AS$8</f>
        <v>3105056</v>
      </c>
      <c r="T10" s="23">
        <f>'[1]Summary for IPSIS'!$AT$8</f>
        <v>0</v>
      </c>
      <c r="U10" s="23">
        <f>S10+T10</f>
        <v>3105056</v>
      </c>
      <c r="V10" s="24">
        <f>'[1]Summary for IPSIS'!$BD$8+'[1]Summary for IPSIS'!$BE$8</f>
        <v>3105056</v>
      </c>
      <c r="W10" s="23">
        <f>'[1]Summary for IPSIS'!$BF$8</f>
        <v>0</v>
      </c>
      <c r="X10" s="23">
        <f>V10+W10</f>
        <v>3105056</v>
      </c>
      <c r="Y10" s="23">
        <f>'[1]Summary for IPSIS'!$BP$8+'[1]Summary for IPSIS'!$BQ$8</f>
        <v>0</v>
      </c>
      <c r="Z10" s="23">
        <f>'[1]Summary for IPSIS'!$BR$8</f>
        <v>0</v>
      </c>
      <c r="AA10" s="23">
        <f>SUM(Y10:Z10)</f>
        <v>0</v>
      </c>
      <c r="AB10" s="23">
        <f>'[1]Summary for IPSIS'!$CB$8+'[1]Summary for IPSIS'!$CC$8</f>
        <v>0</v>
      </c>
      <c r="AC10" s="23">
        <f>'[1]Summary for IPSIS'!$CB$8+'[1]Summary for IPSIS'!$CC$8</f>
        <v>0</v>
      </c>
      <c r="AD10" s="23">
        <f>'[1]Summary for IPSIS'!$CB$8+'[1]Summary for IPSIS'!$CC$8</f>
        <v>0</v>
      </c>
      <c r="AE10" s="23">
        <f>'[1]Summary for IPSIS'!$CN$8+'[1]Summary for IPSIS'!$CO$8</f>
        <v>0</v>
      </c>
      <c r="AF10" s="23">
        <f>'[1]Summary for IPSIS'!$CP$8</f>
        <v>0</v>
      </c>
      <c r="AG10" s="23">
        <f>SUM(AE10:AF10)</f>
        <v>0</v>
      </c>
      <c r="AH10" s="23">
        <f>'[1]Summary for IPSIS'!$CZ$8+'[1]Summary for IPSIS'!$DA$8</f>
        <v>0</v>
      </c>
      <c r="AI10" s="23">
        <f>'[1]Summary for IPSIS'!$DB$8</f>
        <v>0</v>
      </c>
      <c r="AJ10" s="23">
        <f>SUM(AH10:AI10)</f>
        <v>0</v>
      </c>
      <c r="AK10" s="23">
        <f>'[1]Summary for IPSIS'!$DL$8+'[1]Summary for IPSIS'!$DM$8</f>
        <v>0</v>
      </c>
      <c r="AL10" s="23">
        <f>'[1]Summary for IPSIS'!$DN$8</f>
        <v>0</v>
      </c>
      <c r="AM10" s="23">
        <f>SUM(AK10:AL10)</f>
        <v>0</v>
      </c>
      <c r="AN10" s="23">
        <f>J10+M10+P10+S10+V10+Y10+AB10+AE10+AH10+AK10</f>
        <v>13843993.6</v>
      </c>
      <c r="AO10" s="23">
        <f>K10+N10+Q10+T10+W10+Z10+AC10+AF10+AI10+AL10</f>
        <v>0</v>
      </c>
      <c r="AP10" s="23">
        <f>SUM(AN10:AO10)</f>
        <v>13843993.6</v>
      </c>
      <c r="AQ10" s="24">
        <f>530464+1571488+1321130</f>
        <v>3423082</v>
      </c>
      <c r="AR10" s="23">
        <f>0</f>
        <v>0</v>
      </c>
      <c r="AS10" s="23">
        <f>AQ10+AR10</f>
        <v>3423082</v>
      </c>
      <c r="AT10" s="24">
        <f>0</f>
        <v>0</v>
      </c>
      <c r="AU10" s="23">
        <f>0</f>
        <v>0</v>
      </c>
      <c r="AV10" s="23"/>
      <c r="AW10" s="23">
        <f t="shared" ref="AW10:AW12" si="0">AT10+AU10</f>
        <v>0</v>
      </c>
      <c r="AX10" s="24">
        <f>1289456+1289452</f>
        <v>2578908</v>
      </c>
      <c r="AY10" s="23">
        <f>0</f>
        <v>0</v>
      </c>
      <c r="AZ10" s="23">
        <f>AX10+AY10</f>
        <v>2578908</v>
      </c>
      <c r="BA10" s="161">
        <f>SUM(AZ10+AW10+AS10)-AP10</f>
        <v>-7842003.5999999996</v>
      </c>
      <c r="BC10" s="128"/>
    </row>
    <row r="11" spans="2:61" ht="67.150000000000006" customHeight="1" x14ac:dyDescent="0.2">
      <c r="B11" s="202" t="s">
        <v>121</v>
      </c>
      <c r="C11" s="145" t="s">
        <v>123</v>
      </c>
      <c r="D11" s="76"/>
      <c r="E11" s="146" t="s">
        <v>117</v>
      </c>
      <c r="F11" s="9" t="s">
        <v>58</v>
      </c>
      <c r="G11" s="9" t="s">
        <v>124</v>
      </c>
      <c r="H11" s="220">
        <v>44562</v>
      </c>
      <c r="I11" s="219" t="s">
        <v>120</v>
      </c>
      <c r="J11" s="22">
        <f>'[1]Summary for IPSIS'!$H$9+'[1]Summary for IPSIS'!$I$9</f>
        <v>0</v>
      </c>
      <c r="K11" s="22">
        <f>'[1]Summary for IPSIS'!$J$9</f>
        <v>0</v>
      </c>
      <c r="L11" s="23">
        <f>J11+K11</f>
        <v>0</v>
      </c>
      <c r="M11" s="22">
        <f>'[1]Summary for IPSIS'!$T$9+'[1]Summary for IPSIS'!$U$9</f>
        <v>2894400</v>
      </c>
      <c r="N11" s="22">
        <f>'[1]Summary for IPSIS'!$V$9</f>
        <v>517500</v>
      </c>
      <c r="O11" s="23">
        <f t="shared" ref="O11:O12" si="1">M11+N11</f>
        <v>3411900</v>
      </c>
      <c r="P11" s="24">
        <f>'[1]Summary for IPSIS'!$AF$9+'[1]Summary for IPSIS'!$AG$9</f>
        <v>819660</v>
      </c>
      <c r="Q11" s="23">
        <f>'[1]Summary for IPSIS'!$AH$9</f>
        <v>0</v>
      </c>
      <c r="R11" s="23">
        <f t="shared" ref="R11:R12" si="2">P11+Q11</f>
        <v>819660</v>
      </c>
      <c r="S11" s="24">
        <f>'[1]Summary for IPSIS'!$AR$9+'[1]Summary for IPSIS'!$AS$9</f>
        <v>0</v>
      </c>
      <c r="T11" s="23">
        <f>'[1]Summary for IPSIS'!$AT$9</f>
        <v>0</v>
      </c>
      <c r="U11" s="23">
        <f t="shared" ref="U11:U12" si="3">S11+T11</f>
        <v>0</v>
      </c>
      <c r="V11" s="24">
        <f>'[1]Summary for IPSIS'!$BD$9+'[1]Summary for IPSIS'!$BE$9</f>
        <v>0</v>
      </c>
      <c r="W11" s="23">
        <f>'[1]Summary for IPSIS'!$BF$9</f>
        <v>0</v>
      </c>
      <c r="X11" s="23">
        <f t="shared" ref="X11:X12" si="4">V11+W11</f>
        <v>0</v>
      </c>
      <c r="Y11" s="23">
        <f>'[1]Summary for IPSIS'!$BP$9+'[1]Summary for IPSIS'!$BQ$9</f>
        <v>0</v>
      </c>
      <c r="Z11" s="23">
        <f>'[1]Summary for IPSIS'!$BR$9</f>
        <v>0</v>
      </c>
      <c r="AA11" s="23">
        <f t="shared" ref="AA11:AA12" si="5">SUM(Y11:Z11)</f>
        <v>0</v>
      </c>
      <c r="AB11" s="23">
        <f>'[1]Summary for IPSIS'!$CB$9+'[1]Summary for IPSIS'!$CC$9</f>
        <v>0</v>
      </c>
      <c r="AC11" s="23">
        <f>'[1]Summary for IPSIS'!$CD$9</f>
        <v>0</v>
      </c>
      <c r="AD11" s="23">
        <f>'[1]Summary for IPSIS'!$CB$8+'[1]Summary for IPSIS'!$CC$8</f>
        <v>0</v>
      </c>
      <c r="AE11" s="23">
        <f>'[1]Summary for IPSIS'!$CN$9+'[1]Summary for IPSIS'!$CO$9</f>
        <v>0</v>
      </c>
      <c r="AF11" s="23">
        <f>'[1]Summary for IPSIS'!$CP$9</f>
        <v>0</v>
      </c>
      <c r="AG11" s="23">
        <f t="shared" ref="AG11:AG12" si="6">SUM(AE11:AF11)</f>
        <v>0</v>
      </c>
      <c r="AH11" s="23">
        <f>'[1]Summary for IPSIS'!$CZ$9+'[1]Summary for IPSIS'!$DA$9</f>
        <v>0</v>
      </c>
      <c r="AI11" s="23">
        <f>'[1]Summary for IPSIS'!$DB$9</f>
        <v>0</v>
      </c>
      <c r="AJ11" s="23">
        <f t="shared" ref="AJ11:AJ12" si="7">SUM(AH11:AI11)</f>
        <v>0</v>
      </c>
      <c r="AK11" s="23">
        <f>'[1]Summary for IPSIS'!$DL$9+'[1]Summary for IPSIS'!$DM$9</f>
        <v>0</v>
      </c>
      <c r="AL11" s="23">
        <f>'[1]Summary for IPSIS'!$DN$9</f>
        <v>0</v>
      </c>
      <c r="AM11" s="23">
        <f t="shared" ref="AM11:AM12" si="8">SUM(AK11:AL11)</f>
        <v>0</v>
      </c>
      <c r="AN11" s="23">
        <f t="shared" ref="AN11:AN12" si="9">J11+M11+P11+S11+V11+Y11+AB11+AE11+AH11+AK11</f>
        <v>3714060</v>
      </c>
      <c r="AO11" s="23">
        <f t="shared" ref="AO11:AO12" si="10">K11+N11+Q11+T11+W11+Z11+AC11+AF11+AI11+AL11</f>
        <v>517500</v>
      </c>
      <c r="AP11" s="23">
        <f t="shared" ref="AP11:AP12" si="11">SUM(AN11:AO11)</f>
        <v>4231560</v>
      </c>
      <c r="AQ11" s="24">
        <v>135660</v>
      </c>
      <c r="AR11" s="23">
        <f>0</f>
        <v>0</v>
      </c>
      <c r="AS11" s="23">
        <f t="shared" ref="AS11:AS12" si="12">AQ11+AR11</f>
        <v>135660</v>
      </c>
      <c r="AT11" s="24">
        <f>0</f>
        <v>0</v>
      </c>
      <c r="AU11" s="24">
        <f>0</f>
        <v>0</v>
      </c>
      <c r="AV11" s="23"/>
      <c r="AW11" s="23">
        <f t="shared" si="0"/>
        <v>0</v>
      </c>
      <c r="AX11" s="24">
        <f>0</f>
        <v>0</v>
      </c>
      <c r="AY11" s="23">
        <f>0</f>
        <v>0</v>
      </c>
      <c r="AZ11" s="23">
        <f t="shared" ref="AZ11:AZ12" si="13">AX11+AY11</f>
        <v>0</v>
      </c>
      <c r="BA11" s="161">
        <f t="shared" ref="BA11:BA12" si="14">SUM(AZ11+AW11+AS11)-AP11</f>
        <v>-4095900</v>
      </c>
    </row>
    <row r="12" spans="2:61" ht="67.150000000000006" customHeight="1" thickBot="1" x14ac:dyDescent="0.25">
      <c r="B12" s="202" t="s">
        <v>126</v>
      </c>
      <c r="C12" s="145" t="s">
        <v>125</v>
      </c>
      <c r="D12" s="76"/>
      <c r="E12" s="148" t="s">
        <v>127</v>
      </c>
      <c r="F12" s="9" t="s">
        <v>132</v>
      </c>
      <c r="G12" s="9" t="s">
        <v>128</v>
      </c>
      <c r="H12" s="220">
        <v>44562</v>
      </c>
      <c r="I12" s="219" t="s">
        <v>129</v>
      </c>
      <c r="J12" s="22">
        <f>'[1]Summary for IPSIS'!$H$10+'[1]Summary for IPSIS'!$I$10</f>
        <v>0</v>
      </c>
      <c r="K12" s="22">
        <f>'[1]Summary for IPSIS'!$J$10</f>
        <v>0</v>
      </c>
      <c r="L12" s="23">
        <f>J12+K12</f>
        <v>0</v>
      </c>
      <c r="M12" s="22">
        <f>'[1]Summary for IPSIS'!$T$10+'[1]Summary for IPSIS'!$U$10</f>
        <v>7373083.2000000002</v>
      </c>
      <c r="N12" s="22">
        <f>'[1]Summary for IPSIS'!$V$10</f>
        <v>517500</v>
      </c>
      <c r="O12" s="23">
        <f t="shared" si="1"/>
        <v>7890583.2000000002</v>
      </c>
      <c r="P12" s="24">
        <f>'[1]Summary for IPSIS'!$AF$10+'[1]Summary for IPSIS'!$AG$10</f>
        <v>15243912</v>
      </c>
      <c r="Q12" s="23">
        <f>'[1]Summary for IPSIS'!$AH$10</f>
        <v>0</v>
      </c>
      <c r="R12" s="23">
        <f t="shared" si="2"/>
        <v>15243912</v>
      </c>
      <c r="S12" s="24">
        <f>'[1]Summary for IPSIS'!$AR$10+'[1]Summary for IPSIS'!$AS$10</f>
        <v>11898312</v>
      </c>
      <c r="T12" s="23">
        <f>'[1]Summary for IPSIS'!$AT$10</f>
        <v>517500</v>
      </c>
      <c r="U12" s="23">
        <f t="shared" si="3"/>
        <v>12415812</v>
      </c>
      <c r="V12" s="24">
        <f>'[1]Summary for IPSIS'!$BD$10+'[1]Summary for IPSIS'!$BE$10</f>
        <v>7044763.2000000002</v>
      </c>
      <c r="W12" s="23">
        <f>'[1]Summary for IPSIS'!$BF$10</f>
        <v>517500</v>
      </c>
      <c r="X12" s="23">
        <f t="shared" si="4"/>
        <v>7562263.2000000002</v>
      </c>
      <c r="Y12" s="23">
        <f>'[1]Summary for IPSIS'!$BP$10+'[1]Summary for IPSIS'!$BQ$10</f>
        <v>0</v>
      </c>
      <c r="Z12" s="23">
        <f>'[1]Summary for IPSIS'!$BR$10</f>
        <v>0</v>
      </c>
      <c r="AA12" s="23">
        <f t="shared" si="5"/>
        <v>0</v>
      </c>
      <c r="AB12" s="23">
        <f>'[1]Summary for IPSIS'!$CB$10+'[1]Summary for IPSIS'!$CC$10</f>
        <v>0</v>
      </c>
      <c r="AC12" s="23">
        <f>'[1]Summary for IPSIS'!$CD$10</f>
        <v>0</v>
      </c>
      <c r="AD12" s="23">
        <f>'[1]Summary for IPSIS'!$CB$8+'[1]Summary for IPSIS'!$CC$8</f>
        <v>0</v>
      </c>
      <c r="AE12" s="23">
        <f>'[1]Summary for IPSIS'!$CN$10+'[1]Summary for IPSIS'!$CO$10</f>
        <v>0</v>
      </c>
      <c r="AF12" s="23">
        <f>'[1]Summary for IPSIS'!$CP$10</f>
        <v>0</v>
      </c>
      <c r="AG12" s="23">
        <f t="shared" si="6"/>
        <v>0</v>
      </c>
      <c r="AH12" s="23">
        <f>'[1]Summary for IPSIS'!$CZ$10+'[1]Summary for IPSIS'!$DA$10</f>
        <v>0</v>
      </c>
      <c r="AI12" s="23">
        <f>'[1]Summary for IPSIS'!$DB$10</f>
        <v>0</v>
      </c>
      <c r="AJ12" s="23">
        <f t="shared" si="7"/>
        <v>0</v>
      </c>
      <c r="AK12" s="23">
        <f>'[1]Summary for IPSIS'!$DL$10+'[1]Summary for IPSIS'!$DM$10</f>
        <v>0</v>
      </c>
      <c r="AL12" s="23">
        <f>'[1]Summary for IPSIS'!$DN$10</f>
        <v>0</v>
      </c>
      <c r="AM12" s="23">
        <f t="shared" si="8"/>
        <v>0</v>
      </c>
      <c r="AN12" s="23">
        <f t="shared" si="9"/>
        <v>41560070.400000006</v>
      </c>
      <c r="AO12" s="23">
        <f t="shared" si="10"/>
        <v>1552500</v>
      </c>
      <c r="AP12" s="23">
        <f t="shared" si="11"/>
        <v>43112570.400000006</v>
      </c>
      <c r="AQ12" s="24">
        <f>9128800+404960</f>
        <v>9533760</v>
      </c>
      <c r="AR12" s="23">
        <f>0</f>
        <v>0</v>
      </c>
      <c r="AS12" s="23">
        <f t="shared" si="12"/>
        <v>9533760</v>
      </c>
      <c r="AT12" s="24">
        <f>2415112*4</f>
        <v>9660448</v>
      </c>
      <c r="AU12" s="24">
        <f>0</f>
        <v>0</v>
      </c>
      <c r="AV12" s="23"/>
      <c r="AW12" s="23">
        <f t="shared" si="0"/>
        <v>9660448</v>
      </c>
      <c r="AX12" s="24">
        <f>404960+7780700-517500</f>
        <v>7668160</v>
      </c>
      <c r="AY12" s="23">
        <v>517500</v>
      </c>
      <c r="AZ12" s="23">
        <f t="shared" si="13"/>
        <v>8185660</v>
      </c>
      <c r="BA12" s="161">
        <f t="shared" si="14"/>
        <v>-15732702.400000006</v>
      </c>
      <c r="BB12" s="128"/>
    </row>
    <row r="13" spans="2:61" s="6" customFormat="1" ht="31.15" customHeight="1" thickBot="1" x14ac:dyDescent="0.25">
      <c r="B13" s="200"/>
      <c r="C13" s="224" t="s">
        <v>130</v>
      </c>
      <c r="D13" s="221"/>
      <c r="E13" s="221"/>
      <c r="F13" s="205"/>
      <c r="G13" s="205"/>
      <c r="H13" s="205"/>
      <c r="I13" s="205"/>
      <c r="J13" s="222">
        <f t="shared" ref="J13:X13" si="15">SUM(J9:J12)</f>
        <v>576064</v>
      </c>
      <c r="K13" s="222">
        <f t="shared" si="15"/>
        <v>0</v>
      </c>
      <c r="L13" s="222">
        <f t="shared" si="15"/>
        <v>576064</v>
      </c>
      <c r="M13" s="222">
        <f t="shared" si="15"/>
        <v>14082971.199999999</v>
      </c>
      <c r="N13" s="222">
        <f t="shared" si="15"/>
        <v>1035000</v>
      </c>
      <c r="O13" s="222">
        <f t="shared" si="15"/>
        <v>15117971.199999999</v>
      </c>
      <c r="P13" s="222">
        <f t="shared" si="15"/>
        <v>19305901.600000001</v>
      </c>
      <c r="Q13" s="222">
        <f t="shared" si="15"/>
        <v>0</v>
      </c>
      <c r="R13" s="222">
        <f t="shared" si="15"/>
        <v>19305901.600000001</v>
      </c>
      <c r="S13" s="222">
        <f t="shared" si="15"/>
        <v>15003368</v>
      </c>
      <c r="T13" s="222">
        <f t="shared" si="15"/>
        <v>517500</v>
      </c>
      <c r="U13" s="222">
        <f t="shared" si="15"/>
        <v>15520868</v>
      </c>
      <c r="V13" s="222">
        <f t="shared" si="15"/>
        <v>10149819.199999999</v>
      </c>
      <c r="W13" s="222">
        <f t="shared" si="15"/>
        <v>517500</v>
      </c>
      <c r="X13" s="222">
        <f t="shared" si="15"/>
        <v>10667319.199999999</v>
      </c>
      <c r="Y13" s="222">
        <f t="shared" ref="Y13:AA13" si="16">SUM(Y9:Y12)</f>
        <v>0</v>
      </c>
      <c r="Z13" s="222">
        <f t="shared" si="16"/>
        <v>0</v>
      </c>
      <c r="AA13" s="222">
        <f t="shared" si="16"/>
        <v>0</v>
      </c>
      <c r="AB13" s="222">
        <f t="shared" ref="AB13" si="17">SUM(AB9:AB12)</f>
        <v>0</v>
      </c>
      <c r="AC13" s="222">
        <f t="shared" ref="AC13" si="18">SUM(AC9:AC12)</f>
        <v>0</v>
      </c>
      <c r="AD13" s="222">
        <f t="shared" ref="AD13" si="19">SUM(AD9:AD12)</f>
        <v>0</v>
      </c>
      <c r="AE13" s="222">
        <f t="shared" ref="AE13" si="20">SUM(AE9:AE12)</f>
        <v>0</v>
      </c>
      <c r="AF13" s="222">
        <f t="shared" ref="AF13" si="21">SUM(AF9:AF12)</f>
        <v>0</v>
      </c>
      <c r="AG13" s="222">
        <f t="shared" ref="AG13" si="22">SUM(AG9:AG12)</f>
        <v>0</v>
      </c>
      <c r="AH13" s="222">
        <f t="shared" ref="AH13" si="23">SUM(AH9:AH12)</f>
        <v>0</v>
      </c>
      <c r="AI13" s="222">
        <f t="shared" ref="AI13" si="24">SUM(AI9:AI12)</f>
        <v>0</v>
      </c>
      <c r="AJ13" s="222">
        <f t="shared" ref="AJ13" si="25">SUM(AJ9:AJ12)</f>
        <v>0</v>
      </c>
      <c r="AK13" s="222">
        <f t="shared" ref="AK13" si="26">SUM(AK9:AK12)</f>
        <v>0</v>
      </c>
      <c r="AL13" s="222">
        <f t="shared" ref="AL13" si="27">SUM(AL9:AL12)</f>
        <v>0</v>
      </c>
      <c r="AM13" s="222">
        <f t="shared" ref="AM13" si="28">SUM(AM9:AM12)</f>
        <v>0</v>
      </c>
      <c r="AN13" s="222">
        <f t="shared" ref="AN13:AU13" si="29">SUM(AN9:AN12)</f>
        <v>59118124.000000007</v>
      </c>
      <c r="AO13" s="222">
        <f t="shared" si="29"/>
        <v>2070000</v>
      </c>
      <c r="AP13" s="222">
        <f t="shared" si="29"/>
        <v>61188124.000000007</v>
      </c>
      <c r="AQ13" s="222">
        <f t="shared" si="29"/>
        <v>13092502</v>
      </c>
      <c r="AR13" s="222">
        <f t="shared" si="29"/>
        <v>0</v>
      </c>
      <c r="AS13" s="222">
        <f t="shared" si="29"/>
        <v>13092502</v>
      </c>
      <c r="AT13" s="222">
        <f t="shared" si="29"/>
        <v>9660448</v>
      </c>
      <c r="AU13" s="222">
        <f t="shared" si="29"/>
        <v>0</v>
      </c>
      <c r="AV13" s="222"/>
      <c r="AW13" s="222">
        <f>SUM(AW9:AW12)</f>
        <v>9660448</v>
      </c>
      <c r="AX13" s="222">
        <f>SUM(AX9:AX12)</f>
        <v>10247068</v>
      </c>
      <c r="AY13" s="222">
        <f>SUM(AY9:AY12)</f>
        <v>517500</v>
      </c>
      <c r="AZ13" s="222">
        <f>SUM(AZ9:AZ12)</f>
        <v>10764568</v>
      </c>
      <c r="BA13" s="223">
        <f>SUM(BA9:BA12)</f>
        <v>-27670606.000000007</v>
      </c>
      <c r="BB13" s="26"/>
      <c r="BC13" s="26"/>
      <c r="BD13" s="26"/>
      <c r="BE13" s="26"/>
      <c r="BF13" s="26"/>
      <c r="BG13" s="26"/>
      <c r="BH13" s="26"/>
      <c r="BI13" s="26"/>
    </row>
    <row r="14" spans="2:61" ht="70.900000000000006" customHeight="1" x14ac:dyDescent="0.2">
      <c r="B14" s="201" t="s">
        <v>131</v>
      </c>
      <c r="C14" s="260" t="s">
        <v>133</v>
      </c>
      <c r="D14" s="261"/>
      <c r="E14" s="159"/>
      <c r="F14" s="57"/>
      <c r="G14" s="57"/>
      <c r="H14" s="58"/>
      <c r="I14" s="58"/>
      <c r="J14" s="244"/>
      <c r="K14" s="244"/>
      <c r="L14" s="245"/>
      <c r="M14" s="56"/>
      <c r="N14" s="56"/>
      <c r="O14" s="54"/>
      <c r="P14" s="245"/>
      <c r="Q14" s="245"/>
      <c r="R14" s="245"/>
      <c r="S14" s="160"/>
      <c r="T14" s="54"/>
      <c r="U14" s="54"/>
      <c r="V14" s="245"/>
      <c r="W14" s="245"/>
      <c r="X14" s="245"/>
      <c r="Y14" s="54"/>
      <c r="Z14" s="54"/>
      <c r="AA14" s="54"/>
      <c r="AB14" s="245"/>
      <c r="AC14" s="245"/>
      <c r="AD14" s="245"/>
      <c r="AE14" s="54"/>
      <c r="AF14" s="54"/>
      <c r="AG14" s="54"/>
      <c r="AH14" s="245"/>
      <c r="AI14" s="245"/>
      <c r="AJ14" s="245"/>
      <c r="AK14" s="54"/>
      <c r="AL14" s="54"/>
      <c r="AM14" s="54"/>
      <c r="AN14" s="245"/>
      <c r="AO14" s="245"/>
      <c r="AP14" s="245"/>
      <c r="AQ14" s="160"/>
      <c r="AR14" s="54"/>
      <c r="AS14" s="54"/>
      <c r="AT14" s="245"/>
      <c r="AU14" s="245"/>
      <c r="AV14" s="245"/>
      <c r="AW14" s="245"/>
      <c r="AX14" s="160"/>
      <c r="AY14" s="54"/>
      <c r="AZ14" s="54"/>
      <c r="BA14" s="55"/>
    </row>
    <row r="15" spans="2:61" ht="29.45" customHeight="1" x14ac:dyDescent="0.2">
      <c r="B15" s="208"/>
      <c r="C15" s="209" t="s">
        <v>56</v>
      </c>
      <c r="D15" s="210"/>
      <c r="E15" s="210"/>
      <c r="F15" s="211"/>
      <c r="G15" s="211"/>
      <c r="H15" s="225"/>
      <c r="I15" s="225"/>
      <c r="J15" s="212"/>
      <c r="K15" s="212"/>
      <c r="L15" s="213"/>
      <c r="M15" s="212"/>
      <c r="N15" s="212"/>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4"/>
    </row>
    <row r="16" spans="2:61" ht="67.900000000000006" customHeight="1" x14ac:dyDescent="0.2">
      <c r="B16" s="202" t="s">
        <v>134</v>
      </c>
      <c r="C16" s="147" t="s">
        <v>136</v>
      </c>
      <c r="D16" s="147" t="s">
        <v>65</v>
      </c>
      <c r="E16" s="148" t="s">
        <v>135</v>
      </c>
      <c r="F16" s="203" t="s">
        <v>59</v>
      </c>
      <c r="G16" s="203" t="s">
        <v>138</v>
      </c>
      <c r="H16" s="215" t="s">
        <v>119</v>
      </c>
      <c r="I16" s="216" t="s">
        <v>129</v>
      </c>
      <c r="J16" s="22">
        <f>'[1]Summary for IPSIS'!$H$12+'[1]Summary for IPSIS'!$I$12</f>
        <v>4486936</v>
      </c>
      <c r="K16" s="22">
        <f>'[1]Summary for IPSIS'!$J$12</f>
        <v>0</v>
      </c>
      <c r="L16" s="23">
        <f>J16+K16</f>
        <v>4486936</v>
      </c>
      <c r="M16" s="22">
        <f>'[1]Summary for IPSIS'!$T$12+'[1]Summary for IPSIS'!$U$12</f>
        <v>4877536</v>
      </c>
      <c r="N16" s="22">
        <f>'[1]Summary for IPSIS'!$V$12</f>
        <v>0</v>
      </c>
      <c r="O16" s="23">
        <f>M16+N16</f>
        <v>4877536</v>
      </c>
      <c r="P16" s="24">
        <f>'[1]Summary for IPSIS'!$AF$12+'[1]Summary for IPSIS'!$AG$12</f>
        <v>4512736</v>
      </c>
      <c r="Q16" s="23">
        <f>'[1]Summary for IPSIS'!$AH$12</f>
        <v>0</v>
      </c>
      <c r="R16" s="23">
        <f>P16+Q16</f>
        <v>4512736</v>
      </c>
      <c r="S16" s="24">
        <f>'[1]Summary for IPSIS'!$AR$12+'[1]Summary for IPSIS'!$AS$12</f>
        <v>4512736</v>
      </c>
      <c r="T16" s="23">
        <f>'[1]Summary for IPSIS'!$AT$12</f>
        <v>0</v>
      </c>
      <c r="U16" s="23">
        <f>S16+T16</f>
        <v>4512736</v>
      </c>
      <c r="V16" s="24">
        <f>'[1]Summary for IPSIS'!$BD$12+'[1]Summary for IPSIS'!$BE$12</f>
        <v>4512736</v>
      </c>
      <c r="W16" s="23">
        <f>'[1]Summary for IPSIS'!$BF$12</f>
        <v>0</v>
      </c>
      <c r="X16" s="23">
        <f>V16+W16</f>
        <v>4512736</v>
      </c>
      <c r="Y16" s="23">
        <f>'[1]Summary for IPSIS'!$BP$12+'[1]Summary for IPSIS'!$BQ$12</f>
        <v>0</v>
      </c>
      <c r="Z16" s="23">
        <f>'[1]Summary for IPSIS'!$BR$12</f>
        <v>0</v>
      </c>
      <c r="AA16" s="23">
        <f>SUM(Y16:Z16)</f>
        <v>0</v>
      </c>
      <c r="AB16" s="23">
        <f>'[1]Summary for IPSIS'!$CB$12+'[1]Summary for IPSIS'!$CC$12</f>
        <v>0</v>
      </c>
      <c r="AC16" s="23">
        <f>'[1]Summary for IPSIS'!$CD$12</f>
        <v>0</v>
      </c>
      <c r="AD16" s="23">
        <f>SUM(AB16:AC16)</f>
        <v>0</v>
      </c>
      <c r="AE16" s="23">
        <f>'[1]Summary for IPSIS'!$CN$12+'[1]Summary for IPSIS'!$CO$12</f>
        <v>0</v>
      </c>
      <c r="AF16" s="23">
        <f>'[1]Summary for IPSIS'!$CP$12</f>
        <v>0</v>
      </c>
      <c r="AG16" s="23">
        <f>SUM(AE16:AF16)</f>
        <v>0</v>
      </c>
      <c r="AH16" s="23">
        <f>'[1]Summary for IPSIS'!$CZ$12+'[1]Summary for IPSIS'!$DA$12</f>
        <v>0</v>
      </c>
      <c r="AI16" s="23">
        <f>'[1]Summary for IPSIS'!$DB$12</f>
        <v>0</v>
      </c>
      <c r="AJ16" s="23">
        <f>SUM(AH16:AI16)</f>
        <v>0</v>
      </c>
      <c r="AK16" s="23">
        <f>'[1]Summary for IPSIS'!$DL$12+'[1]Summary for IPSIS'!$DM$12</f>
        <v>0</v>
      </c>
      <c r="AL16" s="23">
        <f>'[1]Summary for IPSIS'!$DN$12</f>
        <v>0</v>
      </c>
      <c r="AM16" s="23">
        <f>SUM(AK16:AL16)</f>
        <v>0</v>
      </c>
      <c r="AN16" s="23">
        <f>J16+M16+P16+S16+V16+Y16+AB16+AE16+AH16+AK16</f>
        <v>22902680</v>
      </c>
      <c r="AO16" s="23">
        <f>K16+N16+Q16+T16+W16+Z16+AC16+AF16+AI16+AL16</f>
        <v>0</v>
      </c>
      <c r="AP16" s="23">
        <f>AN16+AO16</f>
        <v>22902680</v>
      </c>
      <c r="AQ16" s="24">
        <f>2182936+1799616+1763440</f>
        <v>5745992</v>
      </c>
      <c r="AR16" s="23">
        <f>0</f>
        <v>0</v>
      </c>
      <c r="AS16" s="23">
        <f t="shared" ref="AS16:AS19" si="30">AQ16+AR16</f>
        <v>5745992</v>
      </c>
      <c r="AT16" s="24">
        <v>542080</v>
      </c>
      <c r="AU16" s="23">
        <f>0</f>
        <v>0</v>
      </c>
      <c r="AV16" s="29"/>
      <c r="AW16" s="29">
        <f>AT16+AU16</f>
        <v>542080</v>
      </c>
      <c r="AX16" s="25">
        <f>2*1799616</f>
        <v>3599232</v>
      </c>
      <c r="AY16" s="29">
        <f>0</f>
        <v>0</v>
      </c>
      <c r="AZ16" s="29">
        <f>AX16+AY16</f>
        <v>3599232</v>
      </c>
      <c r="BA16" s="161">
        <f>SUM(AZ16+AW16+AS16)-AP16</f>
        <v>-13015376</v>
      </c>
    </row>
    <row r="17" spans="1:61" ht="61.9" customHeight="1" x14ac:dyDescent="0.2">
      <c r="B17" s="202" t="s">
        <v>137</v>
      </c>
      <c r="C17" s="145" t="s">
        <v>142</v>
      </c>
      <c r="D17" s="147" t="s">
        <v>66</v>
      </c>
      <c r="E17" s="146" t="s">
        <v>143</v>
      </c>
      <c r="F17" s="203" t="s">
        <v>58</v>
      </c>
      <c r="G17" s="203" t="s">
        <v>141</v>
      </c>
      <c r="H17" s="215" t="s">
        <v>119</v>
      </c>
      <c r="I17" s="216" t="s">
        <v>129</v>
      </c>
      <c r="J17" s="22">
        <f>'[1]Summary for IPSIS'!$H$13+'[1]Summary for IPSIS'!$I$13</f>
        <v>6258939.2000000002</v>
      </c>
      <c r="K17" s="22">
        <f>'[1]Summary for IPSIS'!$J$13</f>
        <v>0</v>
      </c>
      <c r="L17" s="23">
        <f t="shared" ref="L17:L19" si="31">J17+K17</f>
        <v>6258939.2000000002</v>
      </c>
      <c r="M17" s="22">
        <f>'[1]Summary for IPSIS'!$T$13+'[1]Summary for IPSIS'!$U$13</f>
        <v>9665748</v>
      </c>
      <c r="N17" s="22">
        <f>'[1]Summary for IPSIS'!$V$13</f>
        <v>2760000</v>
      </c>
      <c r="O17" s="23">
        <f t="shared" ref="O17:O19" si="32">M17+N17</f>
        <v>12425748</v>
      </c>
      <c r="P17" s="24">
        <f>'[1]Summary for IPSIS'!$AF$13+'[1]Summary for IPSIS'!$AG$13</f>
        <v>4620948</v>
      </c>
      <c r="Q17" s="23">
        <f>'[1]Summary for IPSIS'!$AH$13</f>
        <v>4140000</v>
      </c>
      <c r="R17" s="23">
        <f t="shared" ref="R17:R19" si="33">P17+Q17</f>
        <v>8760948</v>
      </c>
      <c r="S17" s="24">
        <f>'[1]Summary for IPSIS'!$AR$13+'[1]Summary for IPSIS'!$AS$13</f>
        <v>4447212</v>
      </c>
      <c r="T17" s="23">
        <f>'[1]Summary for IPSIS'!$AT$13</f>
        <v>5520000</v>
      </c>
      <c r="U17" s="23">
        <f t="shared" ref="U17:U19" si="34">S17+T17</f>
        <v>9967212</v>
      </c>
      <c r="V17" s="24">
        <f>'[1]Summary for IPSIS'!$BD$13+'[1]Summary for IPSIS'!$BE$13</f>
        <v>9397639.1999999993</v>
      </c>
      <c r="W17" s="23">
        <f>'[1]Summary for IPSIS'!$BF$13</f>
        <v>5520000</v>
      </c>
      <c r="X17" s="23">
        <f t="shared" ref="X17:X19" si="35">V17+W17</f>
        <v>14917639.199999999</v>
      </c>
      <c r="Y17" s="23">
        <f>'[1]Summary for IPSIS'!$BP$13+'[1]Summary for IPSIS'!$BQ$13</f>
        <v>0</v>
      </c>
      <c r="Z17" s="23">
        <f>'[1]Summary for IPSIS'!$BR$13</f>
        <v>0</v>
      </c>
      <c r="AA17" s="23">
        <f t="shared" ref="AA17:AA19" si="36">SUM(Y17:Z17)</f>
        <v>0</v>
      </c>
      <c r="AB17" s="23">
        <f>'[1]Summary for IPSIS'!$CB$13+'[1]Summary for IPSIS'!$CC$13</f>
        <v>0</v>
      </c>
      <c r="AC17" s="23">
        <f>'[1]Summary for IPSIS'!$CD$13</f>
        <v>0</v>
      </c>
      <c r="AD17" s="23">
        <f t="shared" ref="AD17:AD19" si="37">SUM(AB17:AC17)</f>
        <v>0</v>
      </c>
      <c r="AE17" s="23">
        <f>'[1]Summary for IPSIS'!$CN$13+'[1]Summary for IPSIS'!$CO$13</f>
        <v>0</v>
      </c>
      <c r="AF17" s="23">
        <f>'[1]Summary for IPSIS'!$CP$13</f>
        <v>0</v>
      </c>
      <c r="AG17" s="23">
        <f t="shared" ref="AG17:AG19" si="38">SUM(AE17:AF17)</f>
        <v>0</v>
      </c>
      <c r="AH17" s="23">
        <f>'[1]Summary for IPSIS'!$CZ$13+'[1]Summary for IPSIS'!$DA$13</f>
        <v>0</v>
      </c>
      <c r="AI17" s="23">
        <f>'[1]Summary for IPSIS'!$DB$13</f>
        <v>0</v>
      </c>
      <c r="AJ17" s="23">
        <f t="shared" ref="AJ17:AJ19" si="39">SUM(AH17:AI17)</f>
        <v>0</v>
      </c>
      <c r="AK17" s="23">
        <f>'[1]Summary for IPSIS'!$DL$13+'[1]Summary for IPSIS'!$DM$13</f>
        <v>0</v>
      </c>
      <c r="AL17" s="23">
        <f>'[1]Summary for IPSIS'!$DN$13</f>
        <v>0</v>
      </c>
      <c r="AM17" s="23">
        <f t="shared" ref="AM17:AM19" si="40">SUM(AK17:AL17)</f>
        <v>0</v>
      </c>
      <c r="AN17" s="23">
        <f t="shared" ref="AN17:AN19" si="41">J17+M17+P17+S17+V17+Y17+AB17+AE17+AH17+AK17</f>
        <v>34390486.399999999</v>
      </c>
      <c r="AO17" s="23">
        <f t="shared" ref="AO17:AO19" si="42">K17+N17+Q17+T17+W17+Z17+AC17+AF17+AI17+AL17</f>
        <v>17940000</v>
      </c>
      <c r="AP17" s="23">
        <f t="shared" ref="AP17:AP19" si="43">AN17+AO17</f>
        <v>52330486.399999999</v>
      </c>
      <c r="AQ17" s="24">
        <f>3*1040648</f>
        <v>3121944</v>
      </c>
      <c r="AR17" s="23">
        <f>2760000+4140000</f>
        <v>6900000</v>
      </c>
      <c r="AS17" s="23">
        <f t="shared" si="30"/>
        <v>10021944</v>
      </c>
      <c r="AT17" s="24">
        <v>13409200</v>
      </c>
      <c r="AU17" s="23">
        <f>0</f>
        <v>0</v>
      </c>
      <c r="AV17" s="29"/>
      <c r="AW17" s="29">
        <f t="shared" ref="AW17:AW19" si="44">AT17+AU17</f>
        <v>13409200</v>
      </c>
      <c r="AX17" s="25">
        <f>1094912+1040648</f>
        <v>2135560</v>
      </c>
      <c r="AY17" s="29">
        <f>2*5520000</f>
        <v>11040000</v>
      </c>
      <c r="AZ17" s="29">
        <f t="shared" ref="AZ17:AZ19" si="45">AX17+AY17</f>
        <v>13175560</v>
      </c>
      <c r="BA17" s="161">
        <f t="shared" ref="BA17:BA19" si="46">SUM(AZ17+AW17+AS17)-AP17</f>
        <v>-15723782.399999999</v>
      </c>
    </row>
    <row r="18" spans="1:61" ht="67.150000000000006" customHeight="1" x14ac:dyDescent="0.2">
      <c r="B18" s="202" t="s">
        <v>139</v>
      </c>
      <c r="C18" s="145" t="s">
        <v>144</v>
      </c>
      <c r="D18" s="147" t="s">
        <v>67</v>
      </c>
      <c r="E18" s="146" t="s">
        <v>149</v>
      </c>
      <c r="F18" s="9" t="s">
        <v>146</v>
      </c>
      <c r="G18" s="9" t="s">
        <v>147</v>
      </c>
      <c r="H18" s="217">
        <v>44562</v>
      </c>
      <c r="I18" s="216" t="s">
        <v>120</v>
      </c>
      <c r="J18" s="22">
        <f>'[1]Summary for IPSIS'!$H$14+'[1]Summary for IPSIS'!$I$14</f>
        <v>456000</v>
      </c>
      <c r="K18" s="22">
        <f>'[1]Summary for IPSIS'!$J$14</f>
        <v>0</v>
      </c>
      <c r="L18" s="23">
        <f t="shared" si="31"/>
        <v>456000</v>
      </c>
      <c r="M18" s="22">
        <f>'[1]Summary for IPSIS'!$T$14+'[1]Summary for IPSIS'!$U$14</f>
        <v>6657900</v>
      </c>
      <c r="N18" s="22">
        <f>'[1]Summary for IPSIS'!$V$14</f>
        <v>0</v>
      </c>
      <c r="O18" s="23">
        <f t="shared" si="32"/>
        <v>6657900</v>
      </c>
      <c r="P18" s="24">
        <f>'[1]Summary for IPSIS'!$AF$14+'[1]Summary for IPSIS'!$AG$14</f>
        <v>3530400</v>
      </c>
      <c r="Q18" s="23">
        <f>'[1]Summary for IPSIS'!$AH$14</f>
        <v>0</v>
      </c>
      <c r="R18" s="23">
        <f t="shared" si="33"/>
        <v>3530400</v>
      </c>
      <c r="S18" s="24">
        <f>'[1]Summary for IPSIS'!$AR$14+'[1]Summary for IPSIS'!$AS$14</f>
        <v>0</v>
      </c>
      <c r="T18" s="23">
        <f>'[1]Summary for IPSIS'!$AT$14</f>
        <v>0</v>
      </c>
      <c r="U18" s="23">
        <f t="shared" si="34"/>
        <v>0</v>
      </c>
      <c r="V18" s="24">
        <f>'[1]Summary for IPSIS'!$BD$14+'[1]Summary for IPSIS'!$BE$14</f>
        <v>0</v>
      </c>
      <c r="W18" s="23">
        <f>'[1]Summary for IPSIS'!$BF$14</f>
        <v>0</v>
      </c>
      <c r="X18" s="23">
        <f t="shared" si="35"/>
        <v>0</v>
      </c>
      <c r="Y18" s="23">
        <f>'[1]Summary for IPSIS'!$BP$14+'[1]Summary for IPSIS'!$BQ$14</f>
        <v>0</v>
      </c>
      <c r="Z18" s="23">
        <f>'[1]Summary for IPSIS'!$BR$14</f>
        <v>0</v>
      </c>
      <c r="AA18" s="23">
        <f t="shared" si="36"/>
        <v>0</v>
      </c>
      <c r="AB18" s="23">
        <f>'[1]Summary for IPSIS'!$CB$14+'[1]Summary for IPSIS'!$CC$14</f>
        <v>0</v>
      </c>
      <c r="AC18" s="23">
        <f>'[1]Summary for IPSIS'!$CD$14</f>
        <v>0</v>
      </c>
      <c r="AD18" s="23">
        <f t="shared" si="37"/>
        <v>0</v>
      </c>
      <c r="AE18" s="23">
        <f>'[1]Summary for IPSIS'!$CN$14+'[1]Summary for IPSIS'!$CO$14</f>
        <v>0</v>
      </c>
      <c r="AF18" s="23">
        <f>'[1]Summary for IPSIS'!$CP$14</f>
        <v>0</v>
      </c>
      <c r="AG18" s="23">
        <f t="shared" si="38"/>
        <v>0</v>
      </c>
      <c r="AH18" s="23">
        <f>'[1]Summary for IPSIS'!$CZ$14+'[1]Summary for IPSIS'!$DA$14</f>
        <v>0</v>
      </c>
      <c r="AI18" s="23">
        <f>'[1]Summary for IPSIS'!$DB$14</f>
        <v>0</v>
      </c>
      <c r="AJ18" s="23">
        <f t="shared" si="39"/>
        <v>0</v>
      </c>
      <c r="AK18" s="23">
        <f>'[1]Summary for IPSIS'!$DL$14+'[1]Summary for IPSIS'!$DM$14</f>
        <v>0</v>
      </c>
      <c r="AL18" s="23">
        <f>'[1]Summary for IPSIS'!$DN$14</f>
        <v>0</v>
      </c>
      <c r="AM18" s="23">
        <f t="shared" si="40"/>
        <v>0</v>
      </c>
      <c r="AN18" s="23">
        <f t="shared" si="41"/>
        <v>10644300</v>
      </c>
      <c r="AO18" s="23">
        <f t="shared" si="42"/>
        <v>0</v>
      </c>
      <c r="AP18" s="23">
        <f t="shared" si="43"/>
        <v>10644300</v>
      </c>
      <c r="AQ18" s="24">
        <f>0</f>
        <v>0</v>
      </c>
      <c r="AR18" s="23">
        <f>0</f>
        <v>0</v>
      </c>
      <c r="AS18" s="23">
        <f t="shared" si="30"/>
        <v>0</v>
      </c>
      <c r="AT18" s="24">
        <v>10129450</v>
      </c>
      <c r="AU18" s="23">
        <f>0</f>
        <v>0</v>
      </c>
      <c r="AV18" s="23"/>
      <c r="AW18" s="29">
        <f t="shared" si="44"/>
        <v>10129450</v>
      </c>
      <c r="AX18" s="24"/>
      <c r="AY18" s="23">
        <f>0</f>
        <v>0</v>
      </c>
      <c r="AZ18" s="29">
        <f t="shared" si="45"/>
        <v>0</v>
      </c>
      <c r="BA18" s="161">
        <f t="shared" si="46"/>
        <v>-514850</v>
      </c>
    </row>
    <row r="19" spans="1:61" ht="50.45" customHeight="1" thickBot="1" x14ac:dyDescent="0.25">
      <c r="B19" s="202" t="s">
        <v>140</v>
      </c>
      <c r="C19" s="147" t="s">
        <v>145</v>
      </c>
      <c r="D19" s="147" t="s">
        <v>68</v>
      </c>
      <c r="E19" s="148" t="s">
        <v>150</v>
      </c>
      <c r="F19" s="203" t="s">
        <v>146</v>
      </c>
      <c r="G19" s="203" t="s">
        <v>148</v>
      </c>
      <c r="H19" s="217">
        <v>44562</v>
      </c>
      <c r="I19" s="216" t="s">
        <v>120</v>
      </c>
      <c r="J19" s="22">
        <f>'[1]Summary for IPSIS'!$H$15+'[1]Summary for IPSIS'!$I$15</f>
        <v>0</v>
      </c>
      <c r="K19" s="22">
        <f>'[1]Summary for IPSIS'!$J$15</f>
        <v>0</v>
      </c>
      <c r="L19" s="23">
        <f t="shared" si="31"/>
        <v>0</v>
      </c>
      <c r="M19" s="22">
        <f>'[1]Summary for IPSIS'!$T$15+'[1]Summary for IPSIS'!$U$15</f>
        <v>456000</v>
      </c>
      <c r="N19" s="22">
        <f>'[1]Summary for IPSIS'!$V$15</f>
        <v>0</v>
      </c>
      <c r="O19" s="23">
        <f t="shared" si="32"/>
        <v>456000</v>
      </c>
      <c r="P19" s="24">
        <f>'[1]Summary for IPSIS'!$AF$15+'[1]Summary for IPSIS'!$AG$15</f>
        <v>1328400</v>
      </c>
      <c r="Q19" s="23">
        <f>'[1]Summary for IPSIS'!$AH$15</f>
        <v>0</v>
      </c>
      <c r="R19" s="23">
        <f t="shared" si="33"/>
        <v>1328400</v>
      </c>
      <c r="S19" s="24">
        <f>'[1]Summary for IPSIS'!$AR$15+'[1]Summary for IPSIS'!$AS$15</f>
        <v>0</v>
      </c>
      <c r="T19" s="23">
        <f>'[1]Summary for IPSIS'!$AT$15</f>
        <v>0</v>
      </c>
      <c r="U19" s="23">
        <f t="shared" si="34"/>
        <v>0</v>
      </c>
      <c r="V19" s="24">
        <f>'[1]Summary for IPSIS'!$BD$15+'[1]Summary for IPSIS'!$BE$15</f>
        <v>0</v>
      </c>
      <c r="W19" s="23">
        <f>'[1]Summary for IPSIS'!$BF$15</f>
        <v>0</v>
      </c>
      <c r="X19" s="23">
        <f t="shared" si="35"/>
        <v>0</v>
      </c>
      <c r="Y19" s="23">
        <f>'[1]Summary for IPSIS'!$BP$15+'[1]Summary for IPSIS'!$BQ$15</f>
        <v>0</v>
      </c>
      <c r="Z19" s="23">
        <f>'[1]Summary for IPSIS'!$BR$15</f>
        <v>0</v>
      </c>
      <c r="AA19" s="23">
        <f t="shared" si="36"/>
        <v>0</v>
      </c>
      <c r="AB19" s="23">
        <f>'[1]Summary for IPSIS'!$CB$15+'[1]Summary for IPSIS'!$CC$15</f>
        <v>0</v>
      </c>
      <c r="AC19" s="23">
        <f>'[1]Summary for IPSIS'!$CD$15</f>
        <v>0</v>
      </c>
      <c r="AD19" s="23">
        <f t="shared" si="37"/>
        <v>0</v>
      </c>
      <c r="AE19" s="23">
        <f>'[1]Summary for IPSIS'!$CN$15+'[1]Summary for IPSIS'!$CO$15</f>
        <v>0</v>
      </c>
      <c r="AF19" s="23">
        <f>'[1]Summary for IPSIS'!$CP$15</f>
        <v>0</v>
      </c>
      <c r="AG19" s="23">
        <f t="shared" si="38"/>
        <v>0</v>
      </c>
      <c r="AH19" s="23">
        <f>'[1]Summary for IPSIS'!$CZ$15+'[1]Summary for IPSIS'!$DA$15</f>
        <v>0</v>
      </c>
      <c r="AI19" s="23">
        <f>'[1]Summary for IPSIS'!$DB$15</f>
        <v>0</v>
      </c>
      <c r="AJ19" s="23">
        <f t="shared" si="39"/>
        <v>0</v>
      </c>
      <c r="AK19" s="23">
        <f>'[1]Summary for IPSIS'!$DL$15+'[1]Summary for IPSIS'!$DM$15</f>
        <v>0</v>
      </c>
      <c r="AL19" s="23">
        <f>'[1]Summary for IPSIS'!$DN$15</f>
        <v>0</v>
      </c>
      <c r="AM19" s="23">
        <f t="shared" si="40"/>
        <v>0</v>
      </c>
      <c r="AN19" s="23">
        <f t="shared" si="41"/>
        <v>1784400</v>
      </c>
      <c r="AO19" s="23">
        <f t="shared" si="42"/>
        <v>0</v>
      </c>
      <c r="AP19" s="23">
        <f t="shared" si="43"/>
        <v>1784400</v>
      </c>
      <c r="AQ19" s="24">
        <f>0</f>
        <v>0</v>
      </c>
      <c r="AR19" s="23">
        <f>0</f>
        <v>0</v>
      </c>
      <c r="AS19" s="23">
        <f t="shared" si="30"/>
        <v>0</v>
      </c>
      <c r="AT19" s="24">
        <v>1784400</v>
      </c>
      <c r="AU19" s="23">
        <f>0</f>
        <v>0</v>
      </c>
      <c r="AV19" s="23"/>
      <c r="AW19" s="29">
        <f t="shared" si="44"/>
        <v>1784400</v>
      </c>
      <c r="AX19" s="24">
        <f>0</f>
        <v>0</v>
      </c>
      <c r="AY19" s="23">
        <f>0</f>
        <v>0</v>
      </c>
      <c r="AZ19" s="29">
        <f t="shared" si="45"/>
        <v>0</v>
      </c>
      <c r="BA19" s="161">
        <f t="shared" si="46"/>
        <v>0</v>
      </c>
    </row>
    <row r="20" spans="1:61" s="6" customFormat="1" ht="34.9" customHeight="1" thickBot="1" x14ac:dyDescent="0.25">
      <c r="B20" s="46"/>
      <c r="C20" s="226" t="s">
        <v>63</v>
      </c>
      <c r="D20" s="53"/>
      <c r="E20" s="53"/>
      <c r="F20" s="44"/>
      <c r="G20" s="44"/>
      <c r="H20" s="44"/>
      <c r="I20" s="44"/>
      <c r="J20" s="45">
        <f t="shared" ref="J20:X20" si="47">SUM(J16:J19)</f>
        <v>11201875.199999999</v>
      </c>
      <c r="K20" s="45">
        <f t="shared" si="47"/>
        <v>0</v>
      </c>
      <c r="L20" s="45">
        <f t="shared" si="47"/>
        <v>11201875.199999999</v>
      </c>
      <c r="M20" s="45">
        <f t="shared" si="47"/>
        <v>21657184</v>
      </c>
      <c r="N20" s="45">
        <f t="shared" si="47"/>
        <v>2760000</v>
      </c>
      <c r="O20" s="45">
        <f t="shared" si="47"/>
        <v>24417184</v>
      </c>
      <c r="P20" s="45">
        <f t="shared" si="47"/>
        <v>13992484</v>
      </c>
      <c r="Q20" s="45">
        <f t="shared" si="47"/>
        <v>4140000</v>
      </c>
      <c r="R20" s="45">
        <f t="shared" si="47"/>
        <v>18132484</v>
      </c>
      <c r="S20" s="45">
        <f t="shared" si="47"/>
        <v>8959948</v>
      </c>
      <c r="T20" s="45">
        <f t="shared" si="47"/>
        <v>5520000</v>
      </c>
      <c r="U20" s="45">
        <f t="shared" si="47"/>
        <v>14479948</v>
      </c>
      <c r="V20" s="45">
        <f t="shared" si="47"/>
        <v>13910375.199999999</v>
      </c>
      <c r="W20" s="45">
        <f t="shared" si="47"/>
        <v>5520000</v>
      </c>
      <c r="X20" s="45">
        <f t="shared" si="47"/>
        <v>19430375.199999999</v>
      </c>
      <c r="Y20" s="45">
        <f t="shared" ref="Y20:AO20" si="48">SUM(Y16:Y19)</f>
        <v>0</v>
      </c>
      <c r="Z20" s="45">
        <f t="shared" si="48"/>
        <v>0</v>
      </c>
      <c r="AA20" s="45">
        <f t="shared" si="48"/>
        <v>0</v>
      </c>
      <c r="AB20" s="45">
        <f t="shared" si="48"/>
        <v>0</v>
      </c>
      <c r="AC20" s="45">
        <f t="shared" si="48"/>
        <v>0</v>
      </c>
      <c r="AD20" s="45">
        <f t="shared" si="48"/>
        <v>0</v>
      </c>
      <c r="AE20" s="45">
        <f t="shared" si="48"/>
        <v>0</v>
      </c>
      <c r="AF20" s="45">
        <f t="shared" si="48"/>
        <v>0</v>
      </c>
      <c r="AG20" s="45">
        <f t="shared" si="48"/>
        <v>0</v>
      </c>
      <c r="AH20" s="45">
        <f t="shared" si="48"/>
        <v>0</v>
      </c>
      <c r="AI20" s="45">
        <f t="shared" si="48"/>
        <v>0</v>
      </c>
      <c r="AJ20" s="45">
        <f t="shared" si="48"/>
        <v>0</v>
      </c>
      <c r="AK20" s="45">
        <f t="shared" si="48"/>
        <v>0</v>
      </c>
      <c r="AL20" s="45">
        <f t="shared" si="48"/>
        <v>0</v>
      </c>
      <c r="AM20" s="45">
        <f t="shared" si="48"/>
        <v>0</v>
      </c>
      <c r="AN20" s="45">
        <f t="shared" si="48"/>
        <v>69721866.400000006</v>
      </c>
      <c r="AO20" s="45">
        <f t="shared" si="48"/>
        <v>17940000</v>
      </c>
      <c r="AP20" s="45">
        <f t="shared" ref="AP20:BA20" si="49">SUM(AP16:AP19)</f>
        <v>87661866.400000006</v>
      </c>
      <c r="AQ20" s="45">
        <f t="shared" si="49"/>
        <v>8867936</v>
      </c>
      <c r="AR20" s="45">
        <f t="shared" si="49"/>
        <v>6900000</v>
      </c>
      <c r="AS20" s="45">
        <f t="shared" si="49"/>
        <v>15767936</v>
      </c>
      <c r="AT20" s="45">
        <f t="shared" si="49"/>
        <v>25865130</v>
      </c>
      <c r="AU20" s="45">
        <f t="shared" si="49"/>
        <v>0</v>
      </c>
      <c r="AV20" s="45">
        <f t="shared" si="49"/>
        <v>0</v>
      </c>
      <c r="AW20" s="45">
        <f t="shared" si="49"/>
        <v>25865130</v>
      </c>
      <c r="AX20" s="45">
        <f t="shared" si="49"/>
        <v>5734792</v>
      </c>
      <c r="AY20" s="45">
        <f t="shared" si="49"/>
        <v>11040000</v>
      </c>
      <c r="AZ20" s="45">
        <f t="shared" si="49"/>
        <v>16774792</v>
      </c>
      <c r="BA20" s="165">
        <f t="shared" si="49"/>
        <v>-29254008.399999999</v>
      </c>
      <c r="BB20" s="26"/>
      <c r="BC20" s="26"/>
      <c r="BD20" s="26"/>
      <c r="BE20" s="26"/>
      <c r="BF20" s="26"/>
      <c r="BG20" s="26"/>
      <c r="BH20" s="26"/>
      <c r="BI20" s="26"/>
    </row>
    <row r="21" spans="1:61" ht="81.599999999999994" customHeight="1" x14ac:dyDescent="0.2">
      <c r="B21" s="131">
        <v>1.3</v>
      </c>
      <c r="C21" s="298" t="s">
        <v>155</v>
      </c>
      <c r="D21" s="261"/>
      <c r="E21" s="159"/>
      <c r="F21" s="57"/>
      <c r="G21" s="57"/>
      <c r="H21" s="130"/>
      <c r="I21" s="130"/>
      <c r="J21" s="244"/>
      <c r="K21" s="244"/>
      <c r="L21" s="245"/>
      <c r="M21" s="56"/>
      <c r="N21" s="56"/>
      <c r="O21" s="54"/>
      <c r="P21" s="245"/>
      <c r="Q21" s="245"/>
      <c r="R21" s="245"/>
      <c r="S21" s="160"/>
      <c r="T21" s="54"/>
      <c r="U21" s="54"/>
      <c r="V21" s="245"/>
      <c r="W21" s="245"/>
      <c r="X21" s="245"/>
      <c r="Y21" s="54"/>
      <c r="Z21" s="54"/>
      <c r="AA21" s="54"/>
      <c r="AB21" s="245"/>
      <c r="AC21" s="245"/>
      <c r="AD21" s="245"/>
      <c r="AE21" s="54"/>
      <c r="AF21" s="54"/>
      <c r="AG21" s="54"/>
      <c r="AH21" s="245"/>
      <c r="AI21" s="245"/>
      <c r="AJ21" s="245"/>
      <c r="AK21" s="54"/>
      <c r="AL21" s="54"/>
      <c r="AM21" s="54"/>
      <c r="AN21" s="245"/>
      <c r="AO21" s="245"/>
      <c r="AP21" s="245"/>
      <c r="AQ21" s="160"/>
      <c r="AR21" s="54"/>
      <c r="AS21" s="54"/>
      <c r="AT21" s="245"/>
      <c r="AU21" s="245"/>
      <c r="AV21" s="245"/>
      <c r="AW21" s="245"/>
      <c r="AX21" s="160"/>
      <c r="AY21" s="54"/>
      <c r="AZ21" s="54"/>
      <c r="BA21" s="55"/>
    </row>
    <row r="22" spans="1:61" ht="27" customHeight="1" x14ac:dyDescent="0.2">
      <c r="B22" s="208"/>
      <c r="C22" s="209" t="s">
        <v>56</v>
      </c>
      <c r="D22" s="227"/>
      <c r="E22" s="227"/>
      <c r="F22" s="211"/>
      <c r="G22" s="211"/>
      <c r="H22" s="225"/>
      <c r="I22" s="225"/>
      <c r="J22" s="212"/>
      <c r="K22" s="212"/>
      <c r="L22" s="213"/>
      <c r="M22" s="212"/>
      <c r="N22" s="212"/>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4"/>
    </row>
    <row r="23" spans="1:61" s="16" customFormat="1" ht="64.900000000000006" customHeight="1" x14ac:dyDescent="0.2">
      <c r="B23" s="75" t="s">
        <v>151</v>
      </c>
      <c r="C23" s="228" t="s">
        <v>159</v>
      </c>
      <c r="D23" s="150" t="s">
        <v>69</v>
      </c>
      <c r="E23" s="146" t="s">
        <v>157</v>
      </c>
      <c r="F23" s="203" t="s">
        <v>58</v>
      </c>
      <c r="G23" s="203" t="s">
        <v>156</v>
      </c>
      <c r="H23" s="215" t="s">
        <v>119</v>
      </c>
      <c r="I23" s="216" t="s">
        <v>158</v>
      </c>
      <c r="J23" s="24">
        <f>'[1]Summary for IPSIS'!$H$17+'[1]Summary for IPSIS'!$I$17</f>
        <v>228000</v>
      </c>
      <c r="K23" s="24">
        <f>'[1]Summary for IPSIS'!$J$17</f>
        <v>0</v>
      </c>
      <c r="L23" s="24">
        <f>J23+K23</f>
        <v>228000</v>
      </c>
      <c r="M23" s="24">
        <f>'[1]Summary for IPSIS'!$T$17+'[1]Summary for IPSIS'!$U$17</f>
        <v>45190288</v>
      </c>
      <c r="N23" s="24">
        <f>'[1]Summary for IPSIS'!$V$17</f>
        <v>0</v>
      </c>
      <c r="O23" s="24">
        <f>M23+N23</f>
        <v>45190288</v>
      </c>
      <c r="P23" s="24">
        <f>'[1]Summary for IPSIS'!$AF$17+'[1]Summary for IPSIS'!$AG$17</f>
        <v>40108304</v>
      </c>
      <c r="Q23" s="24">
        <f>'[1]Summary for IPSIS'!$AH$17</f>
        <v>0</v>
      </c>
      <c r="R23" s="24">
        <f>P23+Q23</f>
        <v>40108304</v>
      </c>
      <c r="S23" s="24">
        <f>'[1]Summary for IPSIS'!$AR$17+'[1]Summary for IPSIS'!$AS$17</f>
        <v>40108304</v>
      </c>
      <c r="T23" s="24">
        <f>'[1]Summary for IPSIS'!$AT$17</f>
        <v>0</v>
      </c>
      <c r="U23" s="24">
        <f>S23+T23</f>
        <v>40108304</v>
      </c>
      <c r="V23" s="24">
        <f>'[1]Summary for IPSIS'!$BD$17+'[1]Summary for IPSIS'!$BE$17</f>
        <v>40108304</v>
      </c>
      <c r="W23" s="24">
        <f>'[1]Summary for IPSIS'!$BF$17</f>
        <v>0</v>
      </c>
      <c r="X23" s="24">
        <f>V23+W23</f>
        <v>40108304</v>
      </c>
      <c r="Y23" s="24">
        <f>'[1]Summary for IPSIS'!$BP$17+'[1]Summary for IPSIS'!$BQ$17</f>
        <v>0</v>
      </c>
      <c r="Z23" s="24">
        <f>'[1]Summary for IPSIS'!$BR$17</f>
        <v>0</v>
      </c>
      <c r="AA23" s="24">
        <f>SUM(Y23:Z23)</f>
        <v>0</v>
      </c>
      <c r="AB23" s="24">
        <f>'[1]Summary for IPSIS'!$CB$17+'[1]Summary for IPSIS'!$CC$17</f>
        <v>0</v>
      </c>
      <c r="AC23" s="24">
        <f>'[1]Summary for IPSIS'!$CD$17</f>
        <v>0</v>
      </c>
      <c r="AD23" s="24">
        <f>SUM(AB23:AC23)</f>
        <v>0</v>
      </c>
      <c r="AE23" s="24">
        <f>'[1]Summary for IPSIS'!$CN$17+'[1]Summary for IPSIS'!$CO$17</f>
        <v>0</v>
      </c>
      <c r="AF23" s="24">
        <f>'[1]Summary for IPSIS'!$CP$17</f>
        <v>0</v>
      </c>
      <c r="AG23" s="24">
        <f>SUM(AE23:AF23)</f>
        <v>0</v>
      </c>
      <c r="AH23" s="24">
        <f>'[1]Summary for IPSIS'!$CZ$17+'[1]Summary for IPSIS'!$DA$17</f>
        <v>0</v>
      </c>
      <c r="AI23" s="24">
        <f>'[1]Summary for IPSIS'!$DB$17</f>
        <v>0</v>
      </c>
      <c r="AJ23" s="24">
        <f>SUM(AH23:AI23)</f>
        <v>0</v>
      </c>
      <c r="AK23" s="24">
        <f>'[1]Summary for IPSIS'!$DL$17+'[1]Summary for IPSIS'!$DM$17</f>
        <v>0</v>
      </c>
      <c r="AL23" s="24">
        <f>'[1]Summary for IPSIS'!$DN$17</f>
        <v>0</v>
      </c>
      <c r="AM23" s="24">
        <f>SUM(AK23:AL23)</f>
        <v>0</v>
      </c>
      <c r="AN23" s="23">
        <f t="shared" ref="AN23:AO26" si="50">J23+M23+P23+S23+V23+Y23+AB23+AE23+AH23+AK23</f>
        <v>165743200</v>
      </c>
      <c r="AO23" s="23">
        <f t="shared" si="50"/>
        <v>0</v>
      </c>
      <c r="AP23" s="24">
        <f>AN23+AO23</f>
        <v>165743200</v>
      </c>
      <c r="AQ23" s="24">
        <f>2*9502000</f>
        <v>19004000</v>
      </c>
      <c r="AR23" s="24">
        <f>0</f>
        <v>0</v>
      </c>
      <c r="AS23" s="24">
        <f>AQ23+AR23</f>
        <v>19004000</v>
      </c>
      <c r="AT23" s="24">
        <f>122424896</f>
        <v>122424896</v>
      </c>
      <c r="AU23" s="24">
        <f>0</f>
        <v>0</v>
      </c>
      <c r="AV23" s="24"/>
      <c r="AW23" s="24">
        <f>AT23+AU23</f>
        <v>122424896</v>
      </c>
      <c r="AX23" s="24">
        <f>2*9502080</f>
        <v>19004160</v>
      </c>
      <c r="AY23" s="24">
        <f>0</f>
        <v>0</v>
      </c>
      <c r="AZ23" s="24">
        <f>AX23+AY23</f>
        <v>19004160</v>
      </c>
      <c r="BA23" s="161">
        <f t="shared" ref="BA23:BA26" si="51">SUM(AZ23+AW23+AS23)-AP23</f>
        <v>-5310144</v>
      </c>
    </row>
    <row r="24" spans="1:61" s="16" customFormat="1" ht="43.9" customHeight="1" x14ac:dyDescent="0.2">
      <c r="B24" s="75" t="s">
        <v>152</v>
      </c>
      <c r="C24" s="147" t="s">
        <v>160</v>
      </c>
      <c r="D24" s="151" t="s">
        <v>70</v>
      </c>
      <c r="E24" s="148" t="s">
        <v>161</v>
      </c>
      <c r="F24" s="203" t="s">
        <v>58</v>
      </c>
      <c r="G24" s="203" t="s">
        <v>162</v>
      </c>
      <c r="H24" s="217">
        <v>44562</v>
      </c>
      <c r="I24" s="216" t="s">
        <v>129</v>
      </c>
      <c r="J24" s="24">
        <f>'[1]Summary for IPSIS'!$H$18+'[1]Summary for IPSIS'!$I$18</f>
        <v>0</v>
      </c>
      <c r="K24" s="24">
        <f>'[1]Summary for IPSIS'!$J$18</f>
        <v>0</v>
      </c>
      <c r="L24" s="24">
        <f t="shared" ref="L24:L26" si="52">J24+K24</f>
        <v>0</v>
      </c>
      <c r="M24" s="24">
        <f>'[1]Summary for IPSIS'!$T$18+'[1]Summary for IPSIS'!$U$18</f>
        <v>507584</v>
      </c>
      <c r="N24" s="24">
        <f>'[1]Summary for IPSIS'!$V$18</f>
        <v>0</v>
      </c>
      <c r="O24" s="24">
        <f t="shared" ref="O24:O26" si="53">M24+N24</f>
        <v>507584</v>
      </c>
      <c r="P24" s="24">
        <f>'[1]Summary for IPSIS'!$AF$18+'[1]Summary for IPSIS'!$AG$18</f>
        <v>0</v>
      </c>
      <c r="Q24" s="24">
        <f>'[1]Summary for IPSIS'!$AH$18</f>
        <v>0</v>
      </c>
      <c r="R24" s="24">
        <f t="shared" ref="R24:R26" si="54">P24+Q24</f>
        <v>0</v>
      </c>
      <c r="S24" s="24">
        <f>'[1]Summary for IPSIS'!$AR$18+'[1]Summary for IPSIS'!$AS$18</f>
        <v>0</v>
      </c>
      <c r="T24" s="24">
        <f>'[1]Summary for IPSIS'!$AT$18</f>
        <v>0</v>
      </c>
      <c r="U24" s="24">
        <f t="shared" ref="U24:U26" si="55">S24+T24</f>
        <v>0</v>
      </c>
      <c r="V24" s="24">
        <f>'[1]Summary for IPSIS'!$BD$18+'[1]Summary for IPSIS'!$BE$18</f>
        <v>0</v>
      </c>
      <c r="W24" s="24">
        <f>'[1]Summary for IPSIS'!$BF$18</f>
        <v>0</v>
      </c>
      <c r="X24" s="24">
        <f t="shared" ref="X24:X26" si="56">V24+W24</f>
        <v>0</v>
      </c>
      <c r="Y24" s="24">
        <f>'[1]Summary for IPSIS'!$BP$18+'[1]Summary for IPSIS'!$BQ$18</f>
        <v>0</v>
      </c>
      <c r="Z24" s="24">
        <f>'[1]Summary for IPSIS'!$BR$18</f>
        <v>0</v>
      </c>
      <c r="AA24" s="24">
        <f t="shared" ref="AA24:AA26" si="57">SUM(Y24:Z24)</f>
        <v>0</v>
      </c>
      <c r="AB24" s="24">
        <f>'[1]Summary for IPSIS'!$CB$18+'[1]Summary for IPSIS'!$CC$18</f>
        <v>0</v>
      </c>
      <c r="AC24" s="24">
        <f>'[1]Summary for IPSIS'!$CD$18</f>
        <v>0</v>
      </c>
      <c r="AD24" s="24">
        <f t="shared" ref="AD24:AD26" si="58">SUM(AB24:AC24)</f>
        <v>0</v>
      </c>
      <c r="AE24" s="24">
        <f>'[1]Summary for IPSIS'!$CO$18</f>
        <v>0</v>
      </c>
      <c r="AF24" s="24">
        <f>'[1]Summary for IPSIS'!$CP$18</f>
        <v>0</v>
      </c>
      <c r="AG24" s="24">
        <f t="shared" ref="AG24:AG26" si="59">SUM(AE24:AF24)</f>
        <v>0</v>
      </c>
      <c r="AH24" s="24">
        <f>'[1]Summary for IPSIS'!$CZ$18+'[1]Summary for IPSIS'!$DA$18</f>
        <v>0</v>
      </c>
      <c r="AI24" s="24">
        <f>'[1]Summary for IPSIS'!$DB$18</f>
        <v>0</v>
      </c>
      <c r="AJ24" s="24">
        <f t="shared" ref="AJ24:AJ26" si="60">SUM(AH24:AI24)</f>
        <v>0</v>
      </c>
      <c r="AK24" s="24">
        <f>'[1]Summary for IPSIS'!$DL$18+'[1]Summary for IPSIS'!$DM$18</f>
        <v>0</v>
      </c>
      <c r="AL24" s="24">
        <f>'[1]Summary for IPSIS'!$DN$18</f>
        <v>0</v>
      </c>
      <c r="AM24" s="24">
        <f t="shared" ref="AM24:AM26" si="61">SUM(AK24:AL24)</f>
        <v>0</v>
      </c>
      <c r="AN24" s="23">
        <f t="shared" si="50"/>
        <v>507584</v>
      </c>
      <c r="AO24" s="23">
        <f t="shared" si="50"/>
        <v>0</v>
      </c>
      <c r="AP24" s="24">
        <f t="shared" ref="AP24:AP26" si="62">AN24+AO24</f>
        <v>507584</v>
      </c>
      <c r="AQ24" s="24">
        <v>507584</v>
      </c>
      <c r="AR24" s="24">
        <f>0</f>
        <v>0</v>
      </c>
      <c r="AS24" s="24">
        <f t="shared" ref="AS24:AS26" si="63">AQ24+AR24</f>
        <v>507584</v>
      </c>
      <c r="AT24" s="24">
        <f>0</f>
        <v>0</v>
      </c>
      <c r="AU24" s="24">
        <f>0</f>
        <v>0</v>
      </c>
      <c r="AV24" s="24"/>
      <c r="AW24" s="24">
        <f t="shared" ref="AW24:AW26" si="64">AT24+AU24</f>
        <v>0</v>
      </c>
      <c r="AX24" s="24">
        <f>0</f>
        <v>0</v>
      </c>
      <c r="AY24" s="24">
        <f>0</f>
        <v>0</v>
      </c>
      <c r="AZ24" s="24">
        <f t="shared" ref="AZ24:AZ26" si="65">AX24+AY24</f>
        <v>0</v>
      </c>
      <c r="BA24" s="161">
        <f t="shared" si="51"/>
        <v>0</v>
      </c>
    </row>
    <row r="25" spans="1:61" s="16" customFormat="1" ht="58.15" customHeight="1" x14ac:dyDescent="0.2">
      <c r="B25" s="75" t="s">
        <v>153</v>
      </c>
      <c r="C25" s="152" t="s">
        <v>163</v>
      </c>
      <c r="D25" s="153" t="s">
        <v>71</v>
      </c>
      <c r="E25" s="146" t="s">
        <v>62</v>
      </c>
      <c r="F25" s="203" t="s">
        <v>57</v>
      </c>
      <c r="G25" s="203" t="s">
        <v>164</v>
      </c>
      <c r="H25" s="217">
        <v>44197</v>
      </c>
      <c r="I25" s="216" t="s">
        <v>129</v>
      </c>
      <c r="J25" s="24">
        <f>'[1]Summary for IPSIS'!$H$19+'[1]Summary for IPSIS'!$I$19</f>
        <v>0</v>
      </c>
      <c r="K25" s="24">
        <f>'[1]Summary for IPSIS'!$J$19</f>
        <v>0</v>
      </c>
      <c r="L25" s="24">
        <f t="shared" si="52"/>
        <v>0</v>
      </c>
      <c r="M25" s="24">
        <f>'[1]Summary for IPSIS'!$T$19+'[1]Summary for IPSIS'!$U$19</f>
        <v>44363048</v>
      </c>
      <c r="N25" s="24">
        <f>'[1]Summary for IPSIS'!$V$19</f>
        <v>0</v>
      </c>
      <c r="O25" s="24">
        <f t="shared" si="53"/>
        <v>44363048</v>
      </c>
      <c r="P25" s="24">
        <f>'[1]Summary for IPSIS'!$AF$19+'[1]Summary for IPSIS'!$AG$19</f>
        <v>43679048</v>
      </c>
      <c r="Q25" s="24">
        <f>'[1]Summary for IPSIS'!$AH$19</f>
        <v>0</v>
      </c>
      <c r="R25" s="24">
        <f t="shared" si="54"/>
        <v>43679048</v>
      </c>
      <c r="S25" s="24">
        <f>'[1]Summary for IPSIS'!$AR$19+'[1]Summary for IPSIS'!$AS$19</f>
        <v>44363048</v>
      </c>
      <c r="T25" s="24">
        <f>'[1]Summary for IPSIS'!$AT$19</f>
        <v>0</v>
      </c>
      <c r="U25" s="24">
        <f t="shared" si="55"/>
        <v>44363048</v>
      </c>
      <c r="V25" s="24">
        <f>'[1]Summary for IPSIS'!$BD$19+'[1]Summary for IPSIS'!$BE$19</f>
        <v>44363048</v>
      </c>
      <c r="W25" s="24">
        <f>'[1]Summary for IPSIS'!$BF$19</f>
        <v>0</v>
      </c>
      <c r="X25" s="24">
        <f t="shared" si="56"/>
        <v>44363048</v>
      </c>
      <c r="Y25" s="24">
        <f>'[1]Summary for IPSIS'!$BP$19+'[1]Summary for IPSIS'!$BQ$19</f>
        <v>0</v>
      </c>
      <c r="Z25" s="24">
        <f>'[1]Summary for IPSIS'!$BR$19</f>
        <v>0</v>
      </c>
      <c r="AA25" s="24">
        <f t="shared" si="57"/>
        <v>0</v>
      </c>
      <c r="AB25" s="24">
        <f>'[1]Summary for IPSIS'!$CB$19+'[1]Summary for IPSIS'!$CC$19</f>
        <v>0</v>
      </c>
      <c r="AC25" s="24">
        <f>'[1]Summary for IPSIS'!$CD$19</f>
        <v>0</v>
      </c>
      <c r="AD25" s="24">
        <f t="shared" si="58"/>
        <v>0</v>
      </c>
      <c r="AE25" s="24">
        <f>'[1]Summary for IPSIS'!$CN$19+'[1]Summary for IPSIS'!$CO$19</f>
        <v>0</v>
      </c>
      <c r="AF25" s="24">
        <f>'[1]Summary for IPSIS'!$CP$19</f>
        <v>0</v>
      </c>
      <c r="AG25" s="24">
        <f t="shared" si="59"/>
        <v>0</v>
      </c>
      <c r="AH25" s="24">
        <f>'[1]Summary for IPSIS'!$CZ$19+'[1]Summary for IPSIS'!$DA$19</f>
        <v>0</v>
      </c>
      <c r="AI25" s="24">
        <f>'[1]Summary for IPSIS'!$DB$19</f>
        <v>0</v>
      </c>
      <c r="AJ25" s="24">
        <f t="shared" si="60"/>
        <v>0</v>
      </c>
      <c r="AK25" s="24">
        <f>'[1]Summary for IPSIS'!$DL$19+'[1]Summary for IPSIS'!$DM$19</f>
        <v>0</v>
      </c>
      <c r="AL25" s="24">
        <f>'[1]Summary for IPSIS'!$DN$19</f>
        <v>0</v>
      </c>
      <c r="AM25" s="24">
        <f t="shared" si="61"/>
        <v>0</v>
      </c>
      <c r="AN25" s="23">
        <f t="shared" si="50"/>
        <v>176768192</v>
      </c>
      <c r="AO25" s="23">
        <f t="shared" si="50"/>
        <v>0</v>
      </c>
      <c r="AP25" s="24">
        <f t="shared" si="62"/>
        <v>176768192</v>
      </c>
      <c r="AQ25" s="24">
        <f>2*40890440</f>
        <v>81780880</v>
      </c>
      <c r="AR25" s="24">
        <f>0</f>
        <v>0</v>
      </c>
      <c r="AS25" s="24">
        <f t="shared" si="63"/>
        <v>81780880</v>
      </c>
      <c r="AT25" s="24">
        <f>3800832</f>
        <v>3800832</v>
      </c>
      <c r="AU25" s="24">
        <f>0</f>
        <v>0</v>
      </c>
      <c r="AV25" s="24"/>
      <c r="AW25" s="24">
        <f t="shared" si="64"/>
        <v>3800832</v>
      </c>
      <c r="AX25" s="24">
        <f>2*40890440</f>
        <v>81780880</v>
      </c>
      <c r="AY25" s="24">
        <f>0</f>
        <v>0</v>
      </c>
      <c r="AZ25" s="24">
        <f t="shared" si="65"/>
        <v>81780880</v>
      </c>
      <c r="BA25" s="161">
        <f t="shared" si="51"/>
        <v>-9405600</v>
      </c>
    </row>
    <row r="26" spans="1:61" s="16" customFormat="1" ht="51.6" customHeight="1" thickBot="1" x14ac:dyDescent="0.25">
      <c r="B26" s="75" t="s">
        <v>154</v>
      </c>
      <c r="C26" s="145" t="s">
        <v>165</v>
      </c>
      <c r="D26" s="151" t="s">
        <v>72</v>
      </c>
      <c r="E26" s="146" t="s">
        <v>62</v>
      </c>
      <c r="F26" s="203" t="s">
        <v>57</v>
      </c>
      <c r="G26" s="149" t="s">
        <v>166</v>
      </c>
      <c r="H26" s="217">
        <v>44197</v>
      </c>
      <c r="I26" s="216" t="s">
        <v>129</v>
      </c>
      <c r="J26" s="24">
        <f>'[1]Summary for IPSIS'!$H$20+'[1]Summary for IPSIS'!$I$20</f>
        <v>36090440</v>
      </c>
      <c r="K26" s="24">
        <f>'[1]Summary for IPSIS'!$J$20</f>
        <v>0</v>
      </c>
      <c r="L26" s="24">
        <f t="shared" si="52"/>
        <v>36090440</v>
      </c>
      <c r="M26" s="24">
        <f>'[1]Summary for IPSIS'!$T$20+'[1]Summary for IPSIS'!$U$20</f>
        <v>36090440</v>
      </c>
      <c r="N26" s="24">
        <f>'[1]Summary for IPSIS'!$V$20</f>
        <v>0</v>
      </c>
      <c r="O26" s="24">
        <f t="shared" si="53"/>
        <v>36090440</v>
      </c>
      <c r="P26" s="24">
        <f>'[1]Summary for IPSIS'!$AF$20+'[1]Summary for IPSIS'!$AG$20</f>
        <v>36090440</v>
      </c>
      <c r="Q26" s="24">
        <f>'[1]Summary for IPSIS'!$AH$20</f>
        <v>0</v>
      </c>
      <c r="R26" s="24">
        <f t="shared" si="54"/>
        <v>36090440</v>
      </c>
      <c r="S26" s="24">
        <f>'[1]Summary for IPSIS'!$AR$20+'[1]Summary for IPSIS'!$AS$20</f>
        <v>36090440</v>
      </c>
      <c r="T26" s="24">
        <f>'[1]Summary for IPSIS'!$AT$20</f>
        <v>0</v>
      </c>
      <c r="U26" s="24">
        <f t="shared" si="55"/>
        <v>36090440</v>
      </c>
      <c r="V26" s="24">
        <f>'[1]Summary for IPSIS'!$BD$20+'[1]Summary for IPSIS'!$BE$20</f>
        <v>36090440</v>
      </c>
      <c r="W26" s="24">
        <f>'[1]Summary for IPSIS'!$BF$20</f>
        <v>0</v>
      </c>
      <c r="X26" s="24">
        <f t="shared" si="56"/>
        <v>36090440</v>
      </c>
      <c r="Y26" s="24">
        <f>'[1]Summary for IPSIS'!$BP$20+'[1]Summary for IPSIS'!$BQ$20</f>
        <v>0</v>
      </c>
      <c r="Z26" s="24">
        <f>'[1]Summary for IPSIS'!$BR$20</f>
        <v>0</v>
      </c>
      <c r="AA26" s="24">
        <f t="shared" si="57"/>
        <v>0</v>
      </c>
      <c r="AB26" s="24">
        <f>'[1]Summary for IPSIS'!$CB$20+'[1]Summary for IPSIS'!$CC$20</f>
        <v>0</v>
      </c>
      <c r="AC26" s="24">
        <f>'[1]Summary for IPSIS'!$CD$20</f>
        <v>0</v>
      </c>
      <c r="AD26" s="24">
        <f t="shared" si="58"/>
        <v>0</v>
      </c>
      <c r="AE26" s="24">
        <f>'[1]Summary for IPSIS'!$CN$20+'[1]Summary for IPSIS'!$CO$20</f>
        <v>0</v>
      </c>
      <c r="AF26" s="24">
        <f>'[1]Summary for IPSIS'!$CP$20</f>
        <v>0</v>
      </c>
      <c r="AG26" s="24">
        <f t="shared" si="59"/>
        <v>0</v>
      </c>
      <c r="AH26" s="24">
        <f>'[1]Summary for IPSIS'!$CZ$20+'[1]Summary for IPSIS'!$DA$20</f>
        <v>0</v>
      </c>
      <c r="AI26" s="24">
        <f>'[1]Summary for IPSIS'!$DB$20</f>
        <v>0</v>
      </c>
      <c r="AJ26" s="24">
        <f t="shared" si="60"/>
        <v>0</v>
      </c>
      <c r="AK26" s="24">
        <f>'[1]Summary for IPSIS'!$DL$20+'[1]Summary for IPSIS'!$DM$20</f>
        <v>0</v>
      </c>
      <c r="AL26" s="24">
        <f>'[1]Summary for IPSIS'!$DN$20</f>
        <v>0</v>
      </c>
      <c r="AM26" s="24">
        <f t="shared" si="61"/>
        <v>0</v>
      </c>
      <c r="AN26" s="23">
        <f t="shared" si="50"/>
        <v>180452200</v>
      </c>
      <c r="AO26" s="23">
        <f t="shared" si="50"/>
        <v>0</v>
      </c>
      <c r="AP26" s="24">
        <f t="shared" si="62"/>
        <v>180452200</v>
      </c>
      <c r="AQ26" s="24">
        <f>3*36090440</f>
        <v>108271320</v>
      </c>
      <c r="AR26" s="24">
        <f>0</f>
        <v>0</v>
      </c>
      <c r="AS26" s="24">
        <f t="shared" si="63"/>
        <v>108271320</v>
      </c>
      <c r="AT26" s="24">
        <f>0</f>
        <v>0</v>
      </c>
      <c r="AU26" s="24">
        <f>0</f>
        <v>0</v>
      </c>
      <c r="AV26" s="24"/>
      <c r="AW26" s="24">
        <f t="shared" si="64"/>
        <v>0</v>
      </c>
      <c r="AX26" s="24">
        <f>2*36090440</f>
        <v>72180880</v>
      </c>
      <c r="AY26" s="24">
        <f>0</f>
        <v>0</v>
      </c>
      <c r="AZ26" s="24">
        <f t="shared" si="65"/>
        <v>72180880</v>
      </c>
      <c r="BA26" s="161">
        <f t="shared" si="51"/>
        <v>0</v>
      </c>
    </row>
    <row r="27" spans="1:61" s="26" customFormat="1" ht="32.450000000000003" customHeight="1" thickBot="1" x14ac:dyDescent="0.25">
      <c r="A27" s="16"/>
      <c r="B27" s="46"/>
      <c r="C27" s="52" t="s">
        <v>74</v>
      </c>
      <c r="D27" s="53"/>
      <c r="E27" s="53"/>
      <c r="F27" s="44"/>
      <c r="G27" s="44"/>
      <c r="H27" s="44"/>
      <c r="I27" s="140"/>
      <c r="J27" s="45">
        <f t="shared" ref="J27:X27" si="66">SUM(J23:J26)</f>
        <v>36318440</v>
      </c>
      <c r="K27" s="45">
        <f t="shared" si="66"/>
        <v>0</v>
      </c>
      <c r="L27" s="45">
        <f t="shared" si="66"/>
        <v>36318440</v>
      </c>
      <c r="M27" s="45">
        <f t="shared" si="66"/>
        <v>126151360</v>
      </c>
      <c r="N27" s="45">
        <f t="shared" si="66"/>
        <v>0</v>
      </c>
      <c r="O27" s="45">
        <f t="shared" si="66"/>
        <v>126151360</v>
      </c>
      <c r="P27" s="45">
        <f t="shared" si="66"/>
        <v>119877792</v>
      </c>
      <c r="Q27" s="45">
        <f t="shared" si="66"/>
        <v>0</v>
      </c>
      <c r="R27" s="45">
        <f t="shared" si="66"/>
        <v>119877792</v>
      </c>
      <c r="S27" s="45">
        <f t="shared" si="66"/>
        <v>120561792</v>
      </c>
      <c r="T27" s="45">
        <f t="shared" si="66"/>
        <v>0</v>
      </c>
      <c r="U27" s="45">
        <f t="shared" si="66"/>
        <v>120561792</v>
      </c>
      <c r="V27" s="45">
        <f t="shared" si="66"/>
        <v>120561792</v>
      </c>
      <c r="W27" s="45">
        <f t="shared" si="66"/>
        <v>0</v>
      </c>
      <c r="X27" s="45">
        <f t="shared" si="66"/>
        <v>120561792</v>
      </c>
      <c r="Y27" s="45">
        <f t="shared" ref="Y27:AD27" si="67">SUM(Y23:Y26)</f>
        <v>0</v>
      </c>
      <c r="Z27" s="45">
        <f t="shared" si="67"/>
        <v>0</v>
      </c>
      <c r="AA27" s="45">
        <f t="shared" si="67"/>
        <v>0</v>
      </c>
      <c r="AB27" s="45">
        <f t="shared" si="67"/>
        <v>0</v>
      </c>
      <c r="AC27" s="45">
        <f t="shared" si="67"/>
        <v>0</v>
      </c>
      <c r="AD27" s="45">
        <f t="shared" si="67"/>
        <v>0</v>
      </c>
      <c r="AE27" s="45">
        <f t="shared" ref="AE27" si="68">SUM(AE23:AE26)</f>
        <v>0</v>
      </c>
      <c r="AF27" s="45">
        <f t="shared" ref="AF27" si="69">SUM(AF23:AF26)</f>
        <v>0</v>
      </c>
      <c r="AG27" s="45">
        <f t="shared" ref="AG27" si="70">SUM(AG23:AG26)</f>
        <v>0</v>
      </c>
      <c r="AH27" s="45">
        <f t="shared" ref="AH27" si="71">SUM(AH23:AH26)</f>
        <v>0</v>
      </c>
      <c r="AI27" s="45">
        <f t="shared" ref="AI27" si="72">SUM(AI23:AI26)</f>
        <v>0</v>
      </c>
      <c r="AJ27" s="45">
        <f t="shared" ref="AJ27" si="73">SUM(AJ23:AJ26)</f>
        <v>0</v>
      </c>
      <c r="AK27" s="45">
        <f t="shared" ref="AK27" si="74">SUM(AK23:AK26)</f>
        <v>0</v>
      </c>
      <c r="AL27" s="45">
        <f t="shared" ref="AL27:AM27" si="75">SUM(AL23:AL26)</f>
        <v>0</v>
      </c>
      <c r="AM27" s="45">
        <f t="shared" si="75"/>
        <v>0</v>
      </c>
      <c r="AN27" s="45">
        <f t="shared" ref="AN27:BA27" si="76">SUM(AN23:AN26)</f>
        <v>523471176</v>
      </c>
      <c r="AO27" s="45">
        <f t="shared" si="76"/>
        <v>0</v>
      </c>
      <c r="AP27" s="45">
        <f t="shared" si="76"/>
        <v>523471176</v>
      </c>
      <c r="AQ27" s="45">
        <f t="shared" si="76"/>
        <v>209563784</v>
      </c>
      <c r="AR27" s="45">
        <f t="shared" si="76"/>
        <v>0</v>
      </c>
      <c r="AS27" s="45">
        <f t="shared" si="76"/>
        <v>209563784</v>
      </c>
      <c r="AT27" s="45">
        <f t="shared" si="76"/>
        <v>126225728</v>
      </c>
      <c r="AU27" s="45">
        <f t="shared" si="76"/>
        <v>0</v>
      </c>
      <c r="AV27" s="45">
        <f t="shared" si="76"/>
        <v>0</v>
      </c>
      <c r="AW27" s="45">
        <f t="shared" si="76"/>
        <v>126225728</v>
      </c>
      <c r="AX27" s="45">
        <f t="shared" si="76"/>
        <v>172965920</v>
      </c>
      <c r="AY27" s="45">
        <f t="shared" si="76"/>
        <v>0</v>
      </c>
      <c r="AZ27" s="45">
        <f t="shared" si="76"/>
        <v>172965920</v>
      </c>
      <c r="BA27" s="165">
        <f t="shared" si="76"/>
        <v>-14715744</v>
      </c>
    </row>
    <row r="28" spans="1:61" s="26" customFormat="1" ht="33" customHeight="1" thickBot="1" x14ac:dyDescent="0.25">
      <c r="A28" s="16"/>
      <c r="B28" s="46"/>
      <c r="C28" s="301" t="s">
        <v>100</v>
      </c>
      <c r="D28" s="302"/>
      <c r="E28" s="144"/>
      <c r="F28" s="44"/>
      <c r="G28" s="44"/>
      <c r="H28" s="44"/>
      <c r="I28" s="44"/>
      <c r="J28" s="45">
        <f t="shared" ref="J28:X28" si="77">J27+J20+J13</f>
        <v>48096379.200000003</v>
      </c>
      <c r="K28" s="45">
        <f t="shared" si="77"/>
        <v>0</v>
      </c>
      <c r="L28" s="45">
        <f t="shared" si="77"/>
        <v>48096379.200000003</v>
      </c>
      <c r="M28" s="45">
        <f t="shared" si="77"/>
        <v>161891515.19999999</v>
      </c>
      <c r="N28" s="45">
        <f t="shared" si="77"/>
        <v>3795000</v>
      </c>
      <c r="O28" s="45">
        <f t="shared" si="77"/>
        <v>165686515.19999999</v>
      </c>
      <c r="P28" s="45">
        <f t="shared" si="77"/>
        <v>153176177.59999999</v>
      </c>
      <c r="Q28" s="45">
        <f t="shared" si="77"/>
        <v>4140000</v>
      </c>
      <c r="R28" s="45">
        <f t="shared" si="77"/>
        <v>157316177.59999999</v>
      </c>
      <c r="S28" s="45">
        <f t="shared" si="77"/>
        <v>144525108</v>
      </c>
      <c r="T28" s="45">
        <f t="shared" si="77"/>
        <v>6037500</v>
      </c>
      <c r="U28" s="45">
        <f t="shared" si="77"/>
        <v>150562608</v>
      </c>
      <c r="V28" s="45">
        <f t="shared" si="77"/>
        <v>144621986.39999998</v>
      </c>
      <c r="W28" s="45">
        <f t="shared" si="77"/>
        <v>6037500</v>
      </c>
      <c r="X28" s="45">
        <f t="shared" si="77"/>
        <v>150659486.39999998</v>
      </c>
      <c r="Y28" s="45">
        <f t="shared" ref="Y28:AD28" si="78">Y27+Y20+Y13</f>
        <v>0</v>
      </c>
      <c r="Z28" s="45">
        <f t="shared" si="78"/>
        <v>0</v>
      </c>
      <c r="AA28" s="45">
        <f t="shared" si="78"/>
        <v>0</v>
      </c>
      <c r="AB28" s="45">
        <f t="shared" si="78"/>
        <v>0</v>
      </c>
      <c r="AC28" s="45">
        <f t="shared" si="78"/>
        <v>0</v>
      </c>
      <c r="AD28" s="45">
        <f t="shared" si="78"/>
        <v>0</v>
      </c>
      <c r="AE28" s="45">
        <f t="shared" ref="AE28" si="79">AE27+AE20+AE13</f>
        <v>0</v>
      </c>
      <c r="AF28" s="45">
        <f t="shared" ref="AF28" si="80">AF27+AF20+AF13</f>
        <v>0</v>
      </c>
      <c r="AG28" s="45">
        <f t="shared" ref="AG28" si="81">AG27+AG20+AG13</f>
        <v>0</v>
      </c>
      <c r="AH28" s="45">
        <f t="shared" ref="AH28" si="82">AH27+AH20+AH13</f>
        <v>0</v>
      </c>
      <c r="AI28" s="45">
        <f t="shared" ref="AI28" si="83">AI27+AI20+AI13</f>
        <v>0</v>
      </c>
      <c r="AJ28" s="45">
        <f t="shared" ref="AJ28" si="84">AJ27+AJ20+AJ13</f>
        <v>0</v>
      </c>
      <c r="AK28" s="45">
        <f t="shared" ref="AK28" si="85">AK27+AK20+AK13</f>
        <v>0</v>
      </c>
      <c r="AL28" s="45">
        <f t="shared" ref="AL28" si="86">AL27+AL20+AL13</f>
        <v>0</v>
      </c>
      <c r="AM28" s="45">
        <f t="shared" ref="AM28" si="87">AM27+AM20+AM13</f>
        <v>0</v>
      </c>
      <c r="AN28" s="45">
        <f t="shared" ref="AN28:BA28" si="88">AN27+AN20+AN13</f>
        <v>652311166.39999998</v>
      </c>
      <c r="AO28" s="45">
        <f t="shared" si="88"/>
        <v>20010000</v>
      </c>
      <c r="AP28" s="45">
        <f t="shared" si="88"/>
        <v>672321166.39999998</v>
      </c>
      <c r="AQ28" s="45">
        <f t="shared" si="88"/>
        <v>231524222</v>
      </c>
      <c r="AR28" s="45">
        <f t="shared" si="88"/>
        <v>6900000</v>
      </c>
      <c r="AS28" s="45">
        <f t="shared" si="88"/>
        <v>238424222</v>
      </c>
      <c r="AT28" s="45">
        <f t="shared" si="88"/>
        <v>161751306</v>
      </c>
      <c r="AU28" s="45">
        <f t="shared" si="88"/>
        <v>0</v>
      </c>
      <c r="AV28" s="45">
        <f t="shared" si="88"/>
        <v>0</v>
      </c>
      <c r="AW28" s="45">
        <f t="shared" si="88"/>
        <v>161751306</v>
      </c>
      <c r="AX28" s="45">
        <f t="shared" si="88"/>
        <v>188947780</v>
      </c>
      <c r="AY28" s="45">
        <f t="shared" si="88"/>
        <v>11557500</v>
      </c>
      <c r="AZ28" s="45">
        <f t="shared" si="88"/>
        <v>200505280</v>
      </c>
      <c r="BA28" s="165">
        <f t="shared" si="88"/>
        <v>-71640358.400000006</v>
      </c>
    </row>
    <row r="29" spans="1:61" ht="31.15" customHeight="1" thickBot="1" x14ac:dyDescent="0.25">
      <c r="B29" s="295" t="s">
        <v>167</v>
      </c>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c r="AR29" s="296"/>
      <c r="AS29" s="296"/>
      <c r="AT29" s="296"/>
      <c r="AU29" s="296"/>
      <c r="AV29" s="296"/>
      <c r="AW29" s="296"/>
      <c r="AX29" s="296"/>
      <c r="AY29" s="296"/>
      <c r="AZ29" s="296"/>
      <c r="BA29" s="297"/>
    </row>
    <row r="30" spans="1:61" ht="30.6" customHeight="1" thickBot="1" x14ac:dyDescent="0.25">
      <c r="A30" s="6"/>
      <c r="B30" s="286" t="s">
        <v>318</v>
      </c>
      <c r="C30" s="287"/>
      <c r="D30" s="287"/>
      <c r="E30" s="287"/>
      <c r="F30" s="287"/>
      <c r="G30" s="287"/>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8"/>
    </row>
    <row r="31" spans="1:61" ht="45.6" customHeight="1" x14ac:dyDescent="0.2">
      <c r="A31" s="6"/>
      <c r="B31" s="266" t="s">
        <v>0</v>
      </c>
      <c r="C31" s="266" t="s">
        <v>32</v>
      </c>
      <c r="D31" s="266" t="s">
        <v>1</v>
      </c>
      <c r="E31" s="155" t="s">
        <v>33</v>
      </c>
      <c r="F31" s="266" t="s">
        <v>99</v>
      </c>
      <c r="G31" s="266"/>
      <c r="H31" s="262" t="s">
        <v>37</v>
      </c>
      <c r="I31" s="262"/>
      <c r="J31" s="291" t="s">
        <v>40</v>
      </c>
      <c r="K31" s="291"/>
      <c r="L31" s="291"/>
      <c r="M31" s="291" t="s">
        <v>41</v>
      </c>
      <c r="N31" s="291"/>
      <c r="O31" s="291"/>
      <c r="P31" s="291" t="s">
        <v>42</v>
      </c>
      <c r="Q31" s="303"/>
      <c r="R31" s="303"/>
      <c r="S31" s="304" t="s">
        <v>43</v>
      </c>
      <c r="T31" s="304"/>
      <c r="U31" s="304"/>
      <c r="V31" s="304" t="s">
        <v>44</v>
      </c>
      <c r="W31" s="304"/>
      <c r="X31" s="304"/>
      <c r="Y31" s="273" t="s">
        <v>108</v>
      </c>
      <c r="Z31" s="273"/>
      <c r="AA31" s="273"/>
      <c r="AB31" s="273" t="s">
        <v>109</v>
      </c>
      <c r="AC31" s="273"/>
      <c r="AD31" s="273"/>
      <c r="AE31" s="273" t="s">
        <v>110</v>
      </c>
      <c r="AF31" s="273"/>
      <c r="AG31" s="273"/>
      <c r="AH31" s="273" t="s">
        <v>111</v>
      </c>
      <c r="AI31" s="273"/>
      <c r="AJ31" s="273"/>
      <c r="AK31" s="273" t="s">
        <v>112</v>
      </c>
      <c r="AL31" s="273"/>
      <c r="AM31" s="273"/>
      <c r="AN31" s="304" t="s">
        <v>45</v>
      </c>
      <c r="AO31" s="303"/>
      <c r="AP31" s="303"/>
      <c r="AQ31" s="291" t="s">
        <v>46</v>
      </c>
      <c r="AR31" s="291"/>
      <c r="AS31" s="291"/>
      <c r="AT31" s="291"/>
      <c r="AU31" s="291"/>
      <c r="AV31" s="291"/>
      <c r="AW31" s="291"/>
      <c r="AX31" s="291" t="s">
        <v>52</v>
      </c>
      <c r="AY31" s="309"/>
      <c r="AZ31" s="309"/>
      <c r="BA31" s="291" t="s">
        <v>53</v>
      </c>
    </row>
    <row r="32" spans="1:61" ht="31.15" customHeight="1" x14ac:dyDescent="0.2">
      <c r="A32" s="6"/>
      <c r="B32" s="267"/>
      <c r="C32" s="267"/>
      <c r="D32" s="267"/>
      <c r="E32" s="267" t="s">
        <v>34</v>
      </c>
      <c r="F32" s="279" t="s">
        <v>35</v>
      </c>
      <c r="G32" s="279" t="s">
        <v>36</v>
      </c>
      <c r="H32" s="281" t="s">
        <v>38</v>
      </c>
      <c r="I32" s="281" t="s">
        <v>38</v>
      </c>
      <c r="J32" s="270"/>
      <c r="K32" s="270"/>
      <c r="L32" s="270"/>
      <c r="M32" s="270"/>
      <c r="N32" s="270"/>
      <c r="O32" s="270"/>
      <c r="P32" s="276"/>
      <c r="Q32" s="276"/>
      <c r="R32" s="276"/>
      <c r="S32" s="274"/>
      <c r="T32" s="274"/>
      <c r="U32" s="274"/>
      <c r="V32" s="274"/>
      <c r="W32" s="274"/>
      <c r="X32" s="274"/>
      <c r="Y32" s="274"/>
      <c r="Z32" s="274"/>
      <c r="AA32" s="274"/>
      <c r="AB32" s="274"/>
      <c r="AC32" s="274"/>
      <c r="AD32" s="274"/>
      <c r="AE32" s="274"/>
      <c r="AF32" s="274"/>
      <c r="AG32" s="274"/>
      <c r="AH32" s="274"/>
      <c r="AI32" s="274"/>
      <c r="AJ32" s="274"/>
      <c r="AK32" s="274"/>
      <c r="AL32" s="274"/>
      <c r="AM32" s="274"/>
      <c r="AN32" s="276"/>
      <c r="AO32" s="276"/>
      <c r="AP32" s="276"/>
      <c r="AQ32" s="270" t="s">
        <v>48</v>
      </c>
      <c r="AR32" s="271"/>
      <c r="AS32" s="271"/>
      <c r="AT32" s="270" t="s">
        <v>49</v>
      </c>
      <c r="AU32" s="290"/>
      <c r="AV32" s="290"/>
      <c r="AW32" s="290"/>
      <c r="AX32" s="277" t="s">
        <v>55</v>
      </c>
      <c r="AY32" s="277"/>
      <c r="AZ32" s="277"/>
      <c r="BA32" s="270"/>
    </row>
    <row r="33" spans="2:61" ht="52.9" customHeight="1" thickBot="1" x14ac:dyDescent="0.25">
      <c r="B33" s="268"/>
      <c r="C33" s="268"/>
      <c r="D33" s="268"/>
      <c r="E33" s="268"/>
      <c r="F33" s="280"/>
      <c r="G33" s="280"/>
      <c r="H33" s="282"/>
      <c r="I33" s="282"/>
      <c r="J33" s="167" t="s">
        <v>11</v>
      </c>
      <c r="K33" s="168" t="s">
        <v>12</v>
      </c>
      <c r="L33" s="168" t="s">
        <v>54</v>
      </c>
      <c r="M33" s="167" t="s">
        <v>11</v>
      </c>
      <c r="N33" s="168" t="s">
        <v>12</v>
      </c>
      <c r="O33" s="168" t="s">
        <v>54</v>
      </c>
      <c r="P33" s="167" t="s">
        <v>11</v>
      </c>
      <c r="Q33" s="168" t="s">
        <v>12</v>
      </c>
      <c r="R33" s="168" t="s">
        <v>54</v>
      </c>
      <c r="S33" s="167" t="s">
        <v>11</v>
      </c>
      <c r="T33" s="168" t="s">
        <v>12</v>
      </c>
      <c r="U33" s="168" t="s">
        <v>54</v>
      </c>
      <c r="V33" s="167" t="s">
        <v>11</v>
      </c>
      <c r="W33" s="168" t="s">
        <v>12</v>
      </c>
      <c r="X33" s="168" t="s">
        <v>54</v>
      </c>
      <c r="Y33" s="156" t="s">
        <v>11</v>
      </c>
      <c r="Z33" s="157" t="s">
        <v>12</v>
      </c>
      <c r="AA33" s="157" t="s">
        <v>16</v>
      </c>
      <c r="AB33" s="156" t="s">
        <v>11</v>
      </c>
      <c r="AC33" s="157" t="s">
        <v>12</v>
      </c>
      <c r="AD33" s="157" t="s">
        <v>16</v>
      </c>
      <c r="AE33" s="156" t="s">
        <v>11</v>
      </c>
      <c r="AF33" s="157" t="s">
        <v>12</v>
      </c>
      <c r="AG33" s="157" t="s">
        <v>16</v>
      </c>
      <c r="AH33" s="156" t="s">
        <v>11</v>
      </c>
      <c r="AI33" s="157" t="s">
        <v>12</v>
      </c>
      <c r="AJ33" s="157" t="s">
        <v>16</v>
      </c>
      <c r="AK33" s="156" t="s">
        <v>11</v>
      </c>
      <c r="AL33" s="157" t="s">
        <v>12</v>
      </c>
      <c r="AM33" s="157" t="s">
        <v>16</v>
      </c>
      <c r="AN33" s="168" t="s">
        <v>11</v>
      </c>
      <c r="AO33" s="168" t="s">
        <v>12</v>
      </c>
      <c r="AP33" s="168" t="s">
        <v>54</v>
      </c>
      <c r="AQ33" s="167" t="s">
        <v>11</v>
      </c>
      <c r="AR33" s="168" t="s">
        <v>12</v>
      </c>
      <c r="AS33" s="168" t="s">
        <v>47</v>
      </c>
      <c r="AT33" s="167" t="s">
        <v>11</v>
      </c>
      <c r="AU33" s="168" t="s">
        <v>12</v>
      </c>
      <c r="AV33" s="168" t="s">
        <v>50</v>
      </c>
      <c r="AW33" s="168" t="s">
        <v>51</v>
      </c>
      <c r="AX33" s="167" t="s">
        <v>11</v>
      </c>
      <c r="AY33" s="168" t="s">
        <v>12</v>
      </c>
      <c r="AZ33" s="168" t="s">
        <v>54</v>
      </c>
      <c r="BA33" s="168"/>
    </row>
    <row r="34" spans="2:61" ht="62.45" customHeight="1" x14ac:dyDescent="0.2">
      <c r="B34" s="201" t="s">
        <v>169</v>
      </c>
      <c r="C34" s="260" t="s">
        <v>168</v>
      </c>
      <c r="D34" s="261"/>
      <c r="E34" s="159"/>
      <c r="F34" s="61"/>
      <c r="G34" s="61"/>
      <c r="H34" s="130"/>
      <c r="I34" s="130"/>
      <c r="J34" s="244"/>
      <c r="K34" s="244"/>
      <c r="L34" s="244"/>
      <c r="M34" s="56"/>
      <c r="N34" s="56"/>
      <c r="O34" s="62"/>
      <c r="P34" s="244"/>
      <c r="Q34" s="244"/>
      <c r="R34" s="244"/>
      <c r="S34" s="56"/>
      <c r="T34" s="62"/>
      <c r="U34" s="62"/>
      <c r="V34" s="244"/>
      <c r="W34" s="244"/>
      <c r="X34" s="244"/>
      <c r="Y34" s="62"/>
      <c r="Z34" s="62"/>
      <c r="AA34" s="62"/>
      <c r="AB34" s="244"/>
      <c r="AC34" s="244"/>
      <c r="AD34" s="244"/>
      <c r="AE34" s="62"/>
      <c r="AF34" s="62"/>
      <c r="AG34" s="62"/>
      <c r="AH34" s="244"/>
      <c r="AI34" s="244"/>
      <c r="AJ34" s="244"/>
      <c r="AK34" s="62"/>
      <c r="AL34" s="62"/>
      <c r="AM34" s="62"/>
      <c r="AN34" s="244"/>
      <c r="AO34" s="244"/>
      <c r="AP34" s="244"/>
      <c r="AQ34" s="56"/>
      <c r="AR34" s="62"/>
      <c r="AS34" s="62"/>
      <c r="AT34" s="244"/>
      <c r="AU34" s="244"/>
      <c r="AV34" s="244"/>
      <c r="AW34" s="244"/>
      <c r="AX34" s="56"/>
      <c r="AY34" s="62"/>
      <c r="AZ34" s="62"/>
      <c r="BA34" s="59"/>
    </row>
    <row r="35" spans="2:61" ht="23.45" customHeight="1" x14ac:dyDescent="0.2">
      <c r="B35" s="208"/>
      <c r="C35" s="209" t="s">
        <v>56</v>
      </c>
      <c r="D35" s="229"/>
      <c r="E35" s="229"/>
      <c r="F35" s="230"/>
      <c r="G35" s="230"/>
      <c r="H35" s="225"/>
      <c r="I35" s="225"/>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31"/>
    </row>
    <row r="36" spans="2:61" ht="48.6" customHeight="1" x14ac:dyDescent="0.2">
      <c r="B36" s="202" t="s">
        <v>170</v>
      </c>
      <c r="C36" s="145" t="s">
        <v>175</v>
      </c>
      <c r="D36" s="11"/>
      <c r="E36" s="148" t="s">
        <v>177</v>
      </c>
      <c r="F36" s="9" t="s">
        <v>192</v>
      </c>
      <c r="G36" s="9" t="s">
        <v>176</v>
      </c>
      <c r="H36" s="217">
        <v>44203</v>
      </c>
      <c r="I36" s="216" t="s">
        <v>178</v>
      </c>
      <c r="J36" s="24">
        <f>'[1]Summary for IPSIS'!$H$23+'[1]Summary for IPSIS'!$I$23</f>
        <v>5655440</v>
      </c>
      <c r="K36" s="22">
        <f>'[1]Summary for IPSIS'!$J$23</f>
        <v>0</v>
      </c>
      <c r="L36" s="23">
        <f>J36+K36</f>
        <v>5655440</v>
      </c>
      <c r="M36" s="24">
        <f>'[1]Summary for IPSIS'!$T$23+'[1]Summary for IPSIS'!$U$23</f>
        <v>14489648</v>
      </c>
      <c r="N36" s="22">
        <f>'[1]Summary for IPSIS'!$V$23</f>
        <v>0</v>
      </c>
      <c r="O36" s="23">
        <f>M36+N36</f>
        <v>14489648</v>
      </c>
      <c r="P36" s="24">
        <f>'[1]Summary for IPSIS'!$AF$23+'[1]Summary for IPSIS'!$AG$23</f>
        <v>8789648</v>
      </c>
      <c r="Q36" s="23">
        <f>'[1]Summary for IPSIS'!$AH$23</f>
        <v>0</v>
      </c>
      <c r="R36" s="23">
        <f>P36+Q36</f>
        <v>8789648</v>
      </c>
      <c r="S36" s="24">
        <f>'[1]Summary for IPSIS'!$AR$23+'[1]Summary for IPSIS'!$AS$23</f>
        <v>8789648</v>
      </c>
      <c r="T36" s="23">
        <f>'[1]Summary for IPSIS'!$AT$23</f>
        <v>0</v>
      </c>
      <c r="U36" s="23">
        <f>S36+T36</f>
        <v>8789648</v>
      </c>
      <c r="V36" s="24">
        <f>'[1]Summary for IPSIS'!$BD$23+'[1]Summary for IPSIS'!$BE$23</f>
        <v>8789648</v>
      </c>
      <c r="W36" s="23">
        <f>'[1]Summary for IPSIS'!$BF$23</f>
        <v>0</v>
      </c>
      <c r="X36" s="23">
        <f>V36+W36</f>
        <v>8789648</v>
      </c>
      <c r="Y36" s="23">
        <f>'[1]Summary for IPSIS'!$BP$23+'[1]Summary for IPSIS'!$BQ$23</f>
        <v>0</v>
      </c>
      <c r="Z36" s="23">
        <f>'[1]Summary for IPSIS'!$BR$23</f>
        <v>0</v>
      </c>
      <c r="AA36" s="23">
        <f>SUM(Y36:Z36)</f>
        <v>0</v>
      </c>
      <c r="AB36" s="23">
        <f>'[1]Summary for IPSIS'!$CB$23+'[1]Summary for IPSIS'!$CC$23</f>
        <v>0</v>
      </c>
      <c r="AC36" s="23">
        <f>'[1]Summary for IPSIS'!$CD$23</f>
        <v>0</v>
      </c>
      <c r="AD36" s="23">
        <f>SUM(AB36:AC36)</f>
        <v>0</v>
      </c>
      <c r="AE36" s="23">
        <f>'[1]Summary for IPSIS'!$CN$23+'[1]Summary for IPSIS'!$CO$23</f>
        <v>0</v>
      </c>
      <c r="AF36" s="23">
        <f>'[1]Summary for IPSIS'!$CP$23</f>
        <v>0</v>
      </c>
      <c r="AG36" s="23">
        <f>SUM(AE36:AF36)</f>
        <v>0</v>
      </c>
      <c r="AH36" s="23">
        <f>'[1]Summary for IPSIS'!$CZ$23+'[1]Summary for IPSIS'!$DA$23</f>
        <v>0</v>
      </c>
      <c r="AI36" s="23">
        <f>'[1]Summary for IPSIS'!$DB$23</f>
        <v>0</v>
      </c>
      <c r="AJ36" s="23">
        <f>SUM(AH36:AI36)</f>
        <v>0</v>
      </c>
      <c r="AK36" s="23">
        <f>'[1]Summary for IPSIS'!$DL$23+'[1]Summary for IPSIS'!$DM$23</f>
        <v>0</v>
      </c>
      <c r="AL36" s="23">
        <f>'[1]Summary for IPSIS'!$DN$23</f>
        <v>0</v>
      </c>
      <c r="AM36" s="23">
        <f>SUM(AK36:AL36)</f>
        <v>0</v>
      </c>
      <c r="AN36" s="23">
        <f t="shared" ref="AN36:AO40" si="89">J36+M36+P36+S36+V36+Y36+AB36+AE36+AH36+AK36</f>
        <v>46514032</v>
      </c>
      <c r="AO36" s="23">
        <f t="shared" si="89"/>
        <v>0</v>
      </c>
      <c r="AP36" s="23">
        <f>AN36+AO36</f>
        <v>46514032</v>
      </c>
      <c r="AQ36" s="24">
        <f>3*5655440</f>
        <v>16966320</v>
      </c>
      <c r="AR36" s="23">
        <f>0</f>
        <v>0</v>
      </c>
      <c r="AS36" s="23">
        <f>AQ36+AR36</f>
        <v>16966320</v>
      </c>
      <c r="AT36" s="24">
        <f>0</f>
        <v>0</v>
      </c>
      <c r="AU36" s="23">
        <f>0</f>
        <v>0</v>
      </c>
      <c r="AV36" s="29"/>
      <c r="AW36" s="29">
        <f>AT36+AU36</f>
        <v>0</v>
      </c>
      <c r="AX36" s="25">
        <f>2*5655440</f>
        <v>11310880</v>
      </c>
      <c r="AY36" s="29">
        <f>0</f>
        <v>0</v>
      </c>
      <c r="AZ36" s="29">
        <f>AX36+AY36</f>
        <v>11310880</v>
      </c>
      <c r="BA36" s="161">
        <f t="shared" ref="BA36:BA40" si="90">SUM(AZ36+AW36+AS36)-AP36</f>
        <v>-18236832</v>
      </c>
    </row>
    <row r="37" spans="2:61" ht="48.6" customHeight="1" x14ac:dyDescent="0.2">
      <c r="B37" s="202" t="s">
        <v>171</v>
      </c>
      <c r="C37" s="145" t="s">
        <v>179</v>
      </c>
      <c r="D37" s="11"/>
      <c r="E37" s="232" t="s">
        <v>180</v>
      </c>
      <c r="F37" s="9" t="s">
        <v>302</v>
      </c>
      <c r="G37" s="9" t="s">
        <v>181</v>
      </c>
      <c r="H37" s="217">
        <v>44927</v>
      </c>
      <c r="I37" s="216" t="s">
        <v>120</v>
      </c>
      <c r="J37" s="24">
        <f>'[1]Summary for IPSIS'!$H$24+'[1]Summary for IPSIS'!$I$24</f>
        <v>0</v>
      </c>
      <c r="K37" s="22">
        <f>'[1]Summary for IPSIS'!$J$24</f>
        <v>0</v>
      </c>
      <c r="L37" s="23">
        <f t="shared" ref="L37:L40" si="91">J37+K37</f>
        <v>0</v>
      </c>
      <c r="M37" s="24">
        <f>'[1]Summary for IPSIS'!$T$24+'[1]Summary for IPSIS'!$U$24</f>
        <v>0</v>
      </c>
      <c r="N37" s="22">
        <f>'[1]Summary for IPSIS'!$V$24</f>
        <v>0</v>
      </c>
      <c r="O37" s="23">
        <f t="shared" ref="O37:O40" si="92">M37+N37</f>
        <v>0</v>
      </c>
      <c r="P37" s="24">
        <f>'[1]Summary for IPSIS'!$AF$24+'[1]Summary for IPSIS'!$AG$24</f>
        <v>2736000</v>
      </c>
      <c r="Q37" s="23">
        <f>'[1]Summary for IPSIS'!$AH$24</f>
        <v>0</v>
      </c>
      <c r="R37" s="23">
        <f t="shared" ref="R37:R40" si="93">P37+Q37</f>
        <v>2736000</v>
      </c>
      <c r="S37" s="24">
        <f>'[1]Summary for IPSIS'!$AR$24+'[1]Summary for IPSIS'!$AS$24</f>
        <v>0</v>
      </c>
      <c r="T37" s="23">
        <f>'[1]Summary for IPSIS'!$AT$24</f>
        <v>0</v>
      </c>
      <c r="U37" s="23">
        <f t="shared" ref="U37:U40" si="94">S37+T37</f>
        <v>0</v>
      </c>
      <c r="V37" s="24">
        <f>'[1]Summary for IPSIS'!$BD$24+'[1]Summary for IPSIS'!$BE$24</f>
        <v>0</v>
      </c>
      <c r="W37" s="23">
        <f>'[1]Summary for IPSIS'!$BF$24</f>
        <v>0</v>
      </c>
      <c r="X37" s="23">
        <f t="shared" ref="X37:X40" si="95">V37+W37</f>
        <v>0</v>
      </c>
      <c r="Y37" s="23">
        <f>'[1]Summary for IPSIS'!$BP$24+'[1]Summary for IPSIS'!$BQ$24</f>
        <v>0</v>
      </c>
      <c r="Z37" s="23">
        <f>'[1]Summary for IPSIS'!$BR$24</f>
        <v>0</v>
      </c>
      <c r="AA37" s="23">
        <f t="shared" ref="AA37:AA40" si="96">SUM(Y37:Z37)</f>
        <v>0</v>
      </c>
      <c r="AB37" s="23">
        <f>'[1]Summary for IPSIS'!$CB$24+'[1]Summary for IPSIS'!$CC$24</f>
        <v>0</v>
      </c>
      <c r="AC37" s="23">
        <f>'[1]Summary for IPSIS'!$CD$24</f>
        <v>0</v>
      </c>
      <c r="AD37" s="23">
        <f t="shared" ref="AD37:AD40" si="97">SUM(AB37:AC37)</f>
        <v>0</v>
      </c>
      <c r="AE37" s="23">
        <f>'[1]Summary for IPSIS'!$CN$24+'[1]Summary for IPSIS'!$CO$24</f>
        <v>0</v>
      </c>
      <c r="AF37" s="23">
        <f>'[1]Summary for IPSIS'!$CP$24</f>
        <v>0</v>
      </c>
      <c r="AG37" s="23">
        <f t="shared" ref="AG37:AG40" si="98">SUM(AE37:AF37)</f>
        <v>0</v>
      </c>
      <c r="AH37" s="23">
        <f>'[1]Summary for IPSIS'!$CZ$24+'[1]Summary for IPSIS'!$DA$24</f>
        <v>0</v>
      </c>
      <c r="AI37" s="23">
        <f>'[1]Summary for IPSIS'!$DB$24</f>
        <v>0</v>
      </c>
      <c r="AJ37" s="23">
        <f t="shared" ref="AJ37:AJ40" si="99">SUM(AH37:AI37)</f>
        <v>0</v>
      </c>
      <c r="AK37" s="23">
        <f>'[1]Summary for IPSIS'!$DL$24+'[1]Summary for IPSIS'!$DM$24</f>
        <v>0</v>
      </c>
      <c r="AL37" s="23">
        <f>'[1]Summary for IPSIS'!$DN$24</f>
        <v>0</v>
      </c>
      <c r="AM37" s="23">
        <f t="shared" ref="AM37:AM40" si="100">SUM(AK37:AL37)</f>
        <v>0</v>
      </c>
      <c r="AN37" s="23">
        <f t="shared" si="89"/>
        <v>2736000</v>
      </c>
      <c r="AO37" s="23">
        <f t="shared" si="89"/>
        <v>0</v>
      </c>
      <c r="AP37" s="23">
        <f t="shared" ref="AP37:AP40" si="101">AN37+AO37</f>
        <v>2736000</v>
      </c>
      <c r="AQ37" s="24">
        <f>0</f>
        <v>0</v>
      </c>
      <c r="AR37" s="23">
        <f>0</f>
        <v>0</v>
      </c>
      <c r="AS37" s="23">
        <f t="shared" ref="AS37:AS40" si="102">AQ37+AR37</f>
        <v>0</v>
      </c>
      <c r="AT37" s="24">
        <f>0</f>
        <v>0</v>
      </c>
      <c r="AU37" s="23">
        <f>0</f>
        <v>0</v>
      </c>
      <c r="AV37" s="29"/>
      <c r="AW37" s="29">
        <f t="shared" ref="AW37:AW40" si="103">AT37+AU37</f>
        <v>0</v>
      </c>
      <c r="AX37" s="25">
        <f>0</f>
        <v>0</v>
      </c>
      <c r="AY37" s="29">
        <f>0</f>
        <v>0</v>
      </c>
      <c r="AZ37" s="29">
        <f t="shared" ref="AZ37:AZ40" si="104">AX37+AY37</f>
        <v>0</v>
      </c>
      <c r="BA37" s="161">
        <f t="shared" si="90"/>
        <v>-2736000</v>
      </c>
    </row>
    <row r="38" spans="2:61" ht="46.9" customHeight="1" x14ac:dyDescent="0.2">
      <c r="B38" s="35" t="s">
        <v>172</v>
      </c>
      <c r="C38" s="145" t="s">
        <v>182</v>
      </c>
      <c r="D38" s="13"/>
      <c r="E38" s="148" t="s">
        <v>183</v>
      </c>
      <c r="F38" s="9" t="s">
        <v>59</v>
      </c>
      <c r="G38" s="9" t="s">
        <v>184</v>
      </c>
      <c r="H38" s="217">
        <v>44933</v>
      </c>
      <c r="I38" s="216" t="s">
        <v>129</v>
      </c>
      <c r="J38" s="24">
        <f>'[1]Summary for IPSIS'!$H$25+'[1]Summary for IPSIS'!$I$25</f>
        <v>0</v>
      </c>
      <c r="K38" s="22">
        <f>'[1]Summary for IPSIS'!$J$25</f>
        <v>0</v>
      </c>
      <c r="L38" s="23">
        <f t="shared" si="91"/>
        <v>0</v>
      </c>
      <c r="M38" s="24">
        <f>'[1]Summary for IPSIS'!$T$25+'[1]Summary for IPSIS'!$U$25</f>
        <v>0</v>
      </c>
      <c r="N38" s="22">
        <f>'[1]Summary for IPSIS'!$V$25</f>
        <v>0</v>
      </c>
      <c r="O38" s="23">
        <f t="shared" si="92"/>
        <v>0</v>
      </c>
      <c r="P38" s="24">
        <f>'[1]Summary for IPSIS'!$AF$25+'[1]Summary for IPSIS'!$AG$25</f>
        <v>2066400</v>
      </c>
      <c r="Q38" s="23">
        <f>'[1]Summary for IPSIS'!$AH$25</f>
        <v>0</v>
      </c>
      <c r="R38" s="23">
        <f t="shared" si="93"/>
        <v>2066400</v>
      </c>
      <c r="S38" s="24">
        <f>'[1]Summary for IPSIS'!$AR$25+'[1]Summary for IPSIS'!$AS$25</f>
        <v>2052000</v>
      </c>
      <c r="T38" s="23">
        <f>'[1]Summary for IPSIS'!$AT$25</f>
        <v>0</v>
      </c>
      <c r="U38" s="23">
        <f t="shared" si="94"/>
        <v>2052000</v>
      </c>
      <c r="V38" s="24">
        <f>'[1]Summary for IPSIS'!$BD$25+'[1]Summary for IPSIS'!$BE$25</f>
        <v>677600</v>
      </c>
      <c r="W38" s="23">
        <f>'[1]Summary for IPSIS'!$BF$25</f>
        <v>0</v>
      </c>
      <c r="X38" s="23">
        <f t="shared" si="95"/>
        <v>677600</v>
      </c>
      <c r="Y38" s="23">
        <f>'[1]Summary for IPSIS'!$BP$25+'[1]Summary for IPSIS'!$BQ$25</f>
        <v>0</v>
      </c>
      <c r="Z38" s="23">
        <f>'[1]Summary for IPSIS'!$BR$25</f>
        <v>0</v>
      </c>
      <c r="AA38" s="23">
        <f t="shared" si="96"/>
        <v>0</v>
      </c>
      <c r="AB38" s="23">
        <f>'[1]Summary for IPSIS'!$CB$25+'[1]Summary for IPSIS'!$CC$25</f>
        <v>0</v>
      </c>
      <c r="AC38" s="23">
        <f>'[1]Summary for IPSIS'!$CD$25</f>
        <v>0</v>
      </c>
      <c r="AD38" s="23">
        <f t="shared" si="97"/>
        <v>0</v>
      </c>
      <c r="AE38" s="23">
        <f>'[1]Summary for IPSIS'!$CN$25+'[1]Summary for IPSIS'!$CO$25</f>
        <v>0</v>
      </c>
      <c r="AF38" s="23">
        <f>'[1]Summary for IPSIS'!$CP$25</f>
        <v>0</v>
      </c>
      <c r="AG38" s="23">
        <f t="shared" si="98"/>
        <v>0</v>
      </c>
      <c r="AH38" s="23">
        <f>'[1]Summary for IPSIS'!$CZ$25+'[1]Summary for IPSIS'!$DA$25</f>
        <v>0</v>
      </c>
      <c r="AI38" s="23">
        <f>'[1]Summary for IPSIS'!$DB$25</f>
        <v>0</v>
      </c>
      <c r="AJ38" s="23">
        <f t="shared" si="99"/>
        <v>0</v>
      </c>
      <c r="AK38" s="23">
        <f>'[1]Summary for IPSIS'!$DL$25+'[1]Summary for IPSIS'!$DM$25</f>
        <v>0</v>
      </c>
      <c r="AL38" s="23">
        <f>'[1]Summary for IPSIS'!$DN$25</f>
        <v>0</v>
      </c>
      <c r="AM38" s="23">
        <f t="shared" si="100"/>
        <v>0</v>
      </c>
      <c r="AN38" s="23">
        <f t="shared" si="89"/>
        <v>4796000</v>
      </c>
      <c r="AO38" s="23">
        <f t="shared" si="89"/>
        <v>0</v>
      </c>
      <c r="AP38" s="23">
        <f t="shared" si="101"/>
        <v>4796000</v>
      </c>
      <c r="AQ38" s="25">
        <f>0</f>
        <v>0</v>
      </c>
      <c r="AR38" s="29">
        <f>0</f>
        <v>0</v>
      </c>
      <c r="AS38" s="23">
        <f t="shared" si="102"/>
        <v>0</v>
      </c>
      <c r="AT38" s="25">
        <f>0</f>
        <v>0</v>
      </c>
      <c r="AU38" s="29">
        <f>0</f>
        <v>0</v>
      </c>
      <c r="AV38" s="29"/>
      <c r="AW38" s="29">
        <f t="shared" si="103"/>
        <v>0</v>
      </c>
      <c r="AX38" s="25">
        <f>677600</f>
        <v>677600</v>
      </c>
      <c r="AY38" s="29">
        <f>0</f>
        <v>0</v>
      </c>
      <c r="AZ38" s="29">
        <f t="shared" si="104"/>
        <v>677600</v>
      </c>
      <c r="BA38" s="161">
        <f t="shared" si="90"/>
        <v>-4118400</v>
      </c>
    </row>
    <row r="39" spans="2:61" ht="44.45" customHeight="1" x14ac:dyDescent="0.2">
      <c r="B39" s="202" t="s">
        <v>173</v>
      </c>
      <c r="C39" s="152" t="s">
        <v>185</v>
      </c>
      <c r="D39" s="11"/>
      <c r="E39" s="232" t="s">
        <v>180</v>
      </c>
      <c r="F39" s="9" t="s">
        <v>302</v>
      </c>
      <c r="G39" s="9" t="s">
        <v>186</v>
      </c>
      <c r="H39" s="217">
        <v>45658</v>
      </c>
      <c r="I39" s="216" t="s">
        <v>178</v>
      </c>
      <c r="J39" s="24">
        <f>'[1]Summary for IPSIS'!$H$26+'[1]Summary for IPSIS'!$I$26</f>
        <v>0</v>
      </c>
      <c r="K39" s="22">
        <f>'[1]Summary for IPSIS'!$J$26</f>
        <v>0</v>
      </c>
      <c r="L39" s="23">
        <f t="shared" si="91"/>
        <v>0</v>
      </c>
      <c r="M39" s="24">
        <f>'[1]Summary for IPSIS'!$T$26+'[1]Summary for IPSIS'!$U$26</f>
        <v>0</v>
      </c>
      <c r="N39" s="22">
        <f>'[1]Summary for IPSIS'!$V$26</f>
        <v>0</v>
      </c>
      <c r="O39" s="23">
        <f t="shared" si="92"/>
        <v>0</v>
      </c>
      <c r="P39" s="24">
        <f>'[1]Summary for IPSIS'!$AF$26+'[1]Summary for IPSIS'!$AG$26</f>
        <v>0</v>
      </c>
      <c r="Q39" s="23">
        <f>'[1]Summary for IPSIS'!$AH$26</f>
        <v>0</v>
      </c>
      <c r="R39" s="23">
        <f t="shared" si="93"/>
        <v>0</v>
      </c>
      <c r="S39" s="24">
        <f>'[1]Summary for IPSIS'!$AR$26+'[1]Summary for IPSIS'!$AS$26</f>
        <v>0</v>
      </c>
      <c r="T39" s="23">
        <f>'[1]Summary for IPSIS'!$AT$26</f>
        <v>0</v>
      </c>
      <c r="U39" s="23">
        <f t="shared" si="94"/>
        <v>0</v>
      </c>
      <c r="V39" s="24">
        <f>'[1]Summary for IPSIS'!$BD$26+'[1]Summary for IPSIS'!$BE$26</f>
        <v>1482000</v>
      </c>
      <c r="W39" s="23">
        <f>'[1]Summary for IPSIS'!$BF$26</f>
        <v>0</v>
      </c>
      <c r="X39" s="23">
        <f t="shared" si="95"/>
        <v>1482000</v>
      </c>
      <c r="Y39" s="23">
        <f>'[1]Summary for IPSIS'!$BP$26+'[1]Summary for IPSIS'!$BQ$26</f>
        <v>1504800</v>
      </c>
      <c r="Z39" s="23">
        <f>'[1]Summary for IPSIS'!$BR$26</f>
        <v>0</v>
      </c>
      <c r="AA39" s="23">
        <f t="shared" si="96"/>
        <v>1504800</v>
      </c>
      <c r="AB39" s="23">
        <f>'[1]Summary for IPSIS'!$CB$26+'[1]Summary for IPSIS'!$CC$26</f>
        <v>1368000</v>
      </c>
      <c r="AC39" s="23">
        <f>'[1]Summary for IPSIS'!$CD$26</f>
        <v>0</v>
      </c>
      <c r="AD39" s="23">
        <f t="shared" si="97"/>
        <v>1368000</v>
      </c>
      <c r="AE39" s="23">
        <f>'[1]Summary for IPSIS'!$CN$26+'[1]Summary for IPSIS'!$CO$26</f>
        <v>1368000</v>
      </c>
      <c r="AF39" s="23">
        <f>'[1]Summary for IPSIS'!$CP$26</f>
        <v>0</v>
      </c>
      <c r="AG39" s="23">
        <f t="shared" si="98"/>
        <v>1368000</v>
      </c>
      <c r="AH39" s="23">
        <f>'[1]Summary for IPSIS'!$CZ$26+'[1]Summary for IPSIS'!$DA$26</f>
        <v>1368000</v>
      </c>
      <c r="AI39" s="23">
        <f>'[1]Summary for IPSIS'!$DB$26</f>
        <v>0</v>
      </c>
      <c r="AJ39" s="23">
        <f t="shared" si="99"/>
        <v>1368000</v>
      </c>
      <c r="AK39" s="23">
        <f>'[1]Summary for IPSIS'!$DL$26+'[1]Summary for IPSIS'!$DM$26</f>
        <v>1368000</v>
      </c>
      <c r="AL39" s="23">
        <f>'[1]Summary for IPSIS'!$DN$26</f>
        <v>0</v>
      </c>
      <c r="AM39" s="23">
        <f t="shared" si="100"/>
        <v>1368000</v>
      </c>
      <c r="AN39" s="23">
        <f t="shared" si="89"/>
        <v>8458800</v>
      </c>
      <c r="AO39" s="23">
        <f t="shared" si="89"/>
        <v>0</v>
      </c>
      <c r="AP39" s="23">
        <f t="shared" si="101"/>
        <v>8458800</v>
      </c>
      <c r="AQ39" s="25">
        <f>0</f>
        <v>0</v>
      </c>
      <c r="AR39" s="29">
        <f>0</f>
        <v>0</v>
      </c>
      <c r="AS39" s="23">
        <f t="shared" si="102"/>
        <v>0</v>
      </c>
      <c r="AT39" s="30">
        <f>0</f>
        <v>0</v>
      </c>
      <c r="AU39" s="27">
        <f>0</f>
        <v>0</v>
      </c>
      <c r="AV39" s="29"/>
      <c r="AW39" s="29">
        <f t="shared" si="103"/>
        <v>0</v>
      </c>
      <c r="AX39" s="25">
        <f>0</f>
        <v>0</v>
      </c>
      <c r="AY39" s="29">
        <f>0</f>
        <v>0</v>
      </c>
      <c r="AZ39" s="29">
        <f t="shared" si="104"/>
        <v>0</v>
      </c>
      <c r="BA39" s="161">
        <f t="shared" si="90"/>
        <v>-8458800</v>
      </c>
    </row>
    <row r="40" spans="2:61" ht="31.15" customHeight="1" thickBot="1" x14ac:dyDescent="0.25">
      <c r="B40" s="202" t="s">
        <v>174</v>
      </c>
      <c r="C40" s="145" t="s">
        <v>187</v>
      </c>
      <c r="D40" s="11"/>
      <c r="E40" s="146" t="s">
        <v>73</v>
      </c>
      <c r="F40" s="9" t="s">
        <v>302</v>
      </c>
      <c r="G40" s="9" t="s">
        <v>188</v>
      </c>
      <c r="H40" s="217">
        <v>44562</v>
      </c>
      <c r="I40" s="216" t="s">
        <v>178</v>
      </c>
      <c r="J40" s="24">
        <f>'[1]Summary for IPSIS'!$H$27+'[1]Summary for IPSIS'!$I$27</f>
        <v>0</v>
      </c>
      <c r="K40" s="22">
        <f>'[1]Summary for IPSIS'!$J$27</f>
        <v>0</v>
      </c>
      <c r="L40" s="23">
        <f t="shared" si="91"/>
        <v>0</v>
      </c>
      <c r="M40" s="24">
        <f>'[1]Summary for IPSIS'!$T$27+'[1]Summary for IPSIS'!$U$27</f>
        <v>1596000</v>
      </c>
      <c r="N40" s="22">
        <f>'[1]Summary for IPSIS'!$V$27</f>
        <v>0</v>
      </c>
      <c r="O40" s="23">
        <f t="shared" si="92"/>
        <v>1596000</v>
      </c>
      <c r="P40" s="24">
        <f>'[1]Summary for IPSIS'!$AF$27+'[1]Summary for IPSIS'!$AG$27</f>
        <v>1368000</v>
      </c>
      <c r="Q40" s="23">
        <f>'[1]Summary for IPSIS'!$AH$27</f>
        <v>0</v>
      </c>
      <c r="R40" s="23">
        <f t="shared" si="93"/>
        <v>1368000</v>
      </c>
      <c r="S40" s="24">
        <f>'[1]Summary for IPSIS'!$AR$27+'[1]Summary for IPSIS'!$AS$27</f>
        <v>1368000</v>
      </c>
      <c r="T40" s="248">
        <f>'[1]Summary for IPSIS'!$AT$27</f>
        <v>0</v>
      </c>
      <c r="U40" s="23">
        <f t="shared" si="94"/>
        <v>1368000</v>
      </c>
      <c r="V40" s="24">
        <f>'[1]Summary for IPSIS'!$BD$27+'[1]Summary for IPSIS'!$BE$27</f>
        <v>1368000</v>
      </c>
      <c r="W40" s="23">
        <f>'[1]Summary for IPSIS'!$BF$27</f>
        <v>0</v>
      </c>
      <c r="X40" s="23">
        <f t="shared" si="95"/>
        <v>1368000</v>
      </c>
      <c r="Y40" s="23">
        <f>'[1]Summary for IPSIS'!$BP$27+'[1]Summary for IPSIS'!$BQ$27</f>
        <v>1368000</v>
      </c>
      <c r="Z40" s="23">
        <f>'[1]Summary for IPSIS'!$BR$27</f>
        <v>0</v>
      </c>
      <c r="AA40" s="23">
        <f t="shared" si="96"/>
        <v>1368000</v>
      </c>
      <c r="AB40" s="23">
        <f>'[1]Summary for IPSIS'!$CB$27+'[1]Summary for IPSIS'!$CC$27</f>
        <v>1368000</v>
      </c>
      <c r="AC40" s="23">
        <f>'[1]Summary for IPSIS'!$CD$27</f>
        <v>0</v>
      </c>
      <c r="AD40" s="23">
        <f t="shared" si="97"/>
        <v>1368000</v>
      </c>
      <c r="AE40" s="23">
        <f>'[1]Summary for IPSIS'!$CN$27+'[1]Summary for IPSIS'!$CO$27</f>
        <v>1368000</v>
      </c>
      <c r="AF40" s="23">
        <f>'[1]Summary for IPSIS'!$CP$27</f>
        <v>0</v>
      </c>
      <c r="AG40" s="23">
        <f t="shared" si="98"/>
        <v>1368000</v>
      </c>
      <c r="AH40" s="23">
        <f>'[1]Summary for IPSIS'!$CZ$27+'[1]Summary for IPSIS'!$DA$27</f>
        <v>1368000</v>
      </c>
      <c r="AI40" s="23">
        <f>'[1]Summary for IPSIS'!$DB$27</f>
        <v>0</v>
      </c>
      <c r="AJ40" s="23">
        <f t="shared" si="99"/>
        <v>1368000</v>
      </c>
      <c r="AK40" s="23">
        <f>'[1]Summary for IPSIS'!$DL$27+'[1]Summary for IPSIS'!$DM$27</f>
        <v>1368000</v>
      </c>
      <c r="AL40" s="23">
        <f>'[1]Summary for IPSIS'!$DN$27</f>
        <v>0</v>
      </c>
      <c r="AM40" s="23">
        <f t="shared" si="100"/>
        <v>1368000</v>
      </c>
      <c r="AN40" s="23">
        <f t="shared" si="89"/>
        <v>12540000</v>
      </c>
      <c r="AO40" s="23">
        <f t="shared" si="89"/>
        <v>0</v>
      </c>
      <c r="AP40" s="23">
        <f t="shared" si="101"/>
        <v>12540000</v>
      </c>
      <c r="AQ40" s="25">
        <f>0</f>
        <v>0</v>
      </c>
      <c r="AR40" s="29">
        <f>0</f>
        <v>0</v>
      </c>
      <c r="AS40" s="23">
        <f t="shared" si="102"/>
        <v>0</v>
      </c>
      <c r="AT40" s="30">
        <f>12540000</f>
        <v>12540000</v>
      </c>
      <c r="AU40" s="27">
        <f>0</f>
        <v>0</v>
      </c>
      <c r="AV40" s="29"/>
      <c r="AW40" s="29">
        <f t="shared" si="103"/>
        <v>12540000</v>
      </c>
      <c r="AX40" s="25">
        <f>0</f>
        <v>0</v>
      </c>
      <c r="AY40" s="29">
        <f>0</f>
        <v>0</v>
      </c>
      <c r="AZ40" s="29">
        <f t="shared" si="104"/>
        <v>0</v>
      </c>
      <c r="BA40" s="161">
        <f t="shared" si="90"/>
        <v>0</v>
      </c>
    </row>
    <row r="41" spans="2:61" s="6" customFormat="1" ht="30.75" customHeight="1" thickBot="1" x14ac:dyDescent="0.25">
      <c r="B41" s="46"/>
      <c r="C41" s="52" t="s">
        <v>4</v>
      </c>
      <c r="D41" s="53"/>
      <c r="E41" s="53"/>
      <c r="F41" s="44"/>
      <c r="G41" s="44"/>
      <c r="H41" s="44"/>
      <c r="I41" s="44"/>
      <c r="J41" s="247">
        <f>SUM(J36:J40)</f>
        <v>5655440</v>
      </c>
      <c r="K41" s="247">
        <f t="shared" ref="K41:AZ41" si="105">SUM(K36:K40)</f>
        <v>0</v>
      </c>
      <c r="L41" s="247">
        <f t="shared" si="105"/>
        <v>5655440</v>
      </c>
      <c r="M41" s="247">
        <f t="shared" si="105"/>
        <v>16085648</v>
      </c>
      <c r="N41" s="247">
        <f t="shared" si="105"/>
        <v>0</v>
      </c>
      <c r="O41" s="247">
        <f t="shared" si="105"/>
        <v>16085648</v>
      </c>
      <c r="P41" s="247">
        <f t="shared" si="105"/>
        <v>14960048</v>
      </c>
      <c r="Q41" s="247">
        <f t="shared" si="105"/>
        <v>0</v>
      </c>
      <c r="R41" s="247">
        <f t="shared" si="105"/>
        <v>14960048</v>
      </c>
      <c r="S41" s="247">
        <f t="shared" si="105"/>
        <v>12209648</v>
      </c>
      <c r="T41" s="249">
        <f t="shared" si="105"/>
        <v>0</v>
      </c>
      <c r="U41" s="247">
        <f t="shared" si="105"/>
        <v>12209648</v>
      </c>
      <c r="V41" s="247">
        <f t="shared" si="105"/>
        <v>12317248</v>
      </c>
      <c r="W41" s="247">
        <f t="shared" si="105"/>
        <v>0</v>
      </c>
      <c r="X41" s="247">
        <f t="shared" si="105"/>
        <v>12317248</v>
      </c>
      <c r="Y41" s="247">
        <f t="shared" si="105"/>
        <v>2872800</v>
      </c>
      <c r="Z41" s="247">
        <f t="shared" si="105"/>
        <v>0</v>
      </c>
      <c r="AA41" s="247">
        <f t="shared" si="105"/>
        <v>2872800</v>
      </c>
      <c r="AB41" s="247">
        <f t="shared" si="105"/>
        <v>2736000</v>
      </c>
      <c r="AC41" s="247">
        <f t="shared" si="105"/>
        <v>0</v>
      </c>
      <c r="AD41" s="247">
        <f t="shared" si="105"/>
        <v>2736000</v>
      </c>
      <c r="AE41" s="247">
        <f t="shared" si="105"/>
        <v>2736000</v>
      </c>
      <c r="AF41" s="247">
        <f t="shared" si="105"/>
        <v>0</v>
      </c>
      <c r="AG41" s="247">
        <f t="shared" si="105"/>
        <v>2736000</v>
      </c>
      <c r="AH41" s="247">
        <f t="shared" si="105"/>
        <v>2736000</v>
      </c>
      <c r="AI41" s="247">
        <f t="shared" si="105"/>
        <v>0</v>
      </c>
      <c r="AJ41" s="247">
        <f t="shared" si="105"/>
        <v>2736000</v>
      </c>
      <c r="AK41" s="247">
        <f t="shared" si="105"/>
        <v>2736000</v>
      </c>
      <c r="AL41" s="247">
        <f t="shared" si="105"/>
        <v>0</v>
      </c>
      <c r="AM41" s="247">
        <f t="shared" si="105"/>
        <v>2736000</v>
      </c>
      <c r="AN41" s="247">
        <f t="shared" si="105"/>
        <v>75044832</v>
      </c>
      <c r="AO41" s="247">
        <f t="shared" si="105"/>
        <v>0</v>
      </c>
      <c r="AP41" s="247">
        <f t="shared" si="105"/>
        <v>75044832</v>
      </c>
      <c r="AQ41" s="247">
        <f t="shared" si="105"/>
        <v>16966320</v>
      </c>
      <c r="AR41" s="247">
        <f t="shared" si="105"/>
        <v>0</v>
      </c>
      <c r="AS41" s="247">
        <f t="shared" si="105"/>
        <v>16966320</v>
      </c>
      <c r="AT41" s="247">
        <f t="shared" si="105"/>
        <v>12540000</v>
      </c>
      <c r="AU41" s="247">
        <f t="shared" si="105"/>
        <v>0</v>
      </c>
      <c r="AV41" s="247"/>
      <c r="AW41" s="247">
        <f t="shared" si="105"/>
        <v>12540000</v>
      </c>
      <c r="AX41" s="247">
        <f t="shared" si="105"/>
        <v>11988480</v>
      </c>
      <c r="AY41" s="247">
        <f t="shared" si="105"/>
        <v>0</v>
      </c>
      <c r="AZ41" s="247">
        <f t="shared" si="105"/>
        <v>11988480</v>
      </c>
      <c r="BA41" s="165">
        <f>SUM(BA36:BA40)</f>
        <v>-33550032</v>
      </c>
      <c r="BB41" s="26"/>
      <c r="BC41" s="38"/>
      <c r="BD41" s="38"/>
      <c r="BE41" s="38"/>
      <c r="BF41" s="38"/>
      <c r="BG41" s="38"/>
      <c r="BH41" s="38"/>
      <c r="BI41" s="26"/>
    </row>
    <row r="42" spans="2:61" ht="57.6" customHeight="1" x14ac:dyDescent="0.2">
      <c r="B42" s="169" t="s">
        <v>189</v>
      </c>
      <c r="C42" s="260" t="s">
        <v>190</v>
      </c>
      <c r="D42" s="261"/>
      <c r="E42" s="159"/>
      <c r="F42" s="61"/>
      <c r="G42" s="61"/>
      <c r="H42" s="66"/>
      <c r="I42" s="66"/>
      <c r="J42" s="25"/>
      <c r="K42" s="25"/>
      <c r="L42" s="29"/>
      <c r="M42" s="25"/>
      <c r="N42" s="25"/>
      <c r="O42" s="29"/>
      <c r="P42" s="25"/>
      <c r="Q42" s="29"/>
      <c r="R42" s="29"/>
      <c r="S42" s="25"/>
      <c r="U42" s="63"/>
      <c r="V42" s="65"/>
      <c r="W42" s="63"/>
      <c r="X42" s="63"/>
      <c r="Y42" s="63"/>
      <c r="Z42" s="63"/>
      <c r="AA42" s="63"/>
      <c r="AB42" s="63"/>
      <c r="AC42" s="63"/>
      <c r="AD42" s="63"/>
      <c r="AE42" s="63"/>
      <c r="AF42" s="63"/>
      <c r="AG42" s="63"/>
      <c r="AH42" s="63"/>
      <c r="AI42" s="63"/>
      <c r="AJ42" s="63"/>
      <c r="AK42" s="63"/>
      <c r="AL42" s="63"/>
      <c r="AM42" s="63"/>
      <c r="AN42" s="63"/>
      <c r="AO42" s="63"/>
      <c r="AP42" s="63"/>
      <c r="AQ42" s="65"/>
      <c r="AR42" s="63"/>
      <c r="AS42" s="63"/>
      <c r="AT42" s="65"/>
      <c r="AU42" s="63"/>
      <c r="AV42" s="63"/>
      <c r="AW42" s="63"/>
      <c r="AX42" s="65"/>
      <c r="AY42" s="63"/>
      <c r="AZ42" s="63"/>
      <c r="BA42" s="64"/>
      <c r="BC42" s="40"/>
      <c r="BD42" s="41"/>
      <c r="BE42" s="41"/>
      <c r="BF42" s="41"/>
      <c r="BG42" s="41"/>
      <c r="BH42" s="41"/>
    </row>
    <row r="43" spans="2:61" ht="26.45" customHeight="1" thickBot="1" x14ac:dyDescent="0.25">
      <c r="B43" s="233"/>
      <c r="C43" s="209" t="s">
        <v>56</v>
      </c>
      <c r="D43" s="229"/>
      <c r="E43" s="229"/>
      <c r="F43" s="230"/>
      <c r="G43" s="230"/>
      <c r="H43" s="230"/>
      <c r="I43" s="230"/>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5"/>
      <c r="BC43" s="40"/>
      <c r="BD43" s="40"/>
      <c r="BE43" s="40"/>
      <c r="BF43" s="40"/>
      <c r="BG43" s="40"/>
      <c r="BH43" s="40"/>
    </row>
    <row r="44" spans="2:61" ht="50.45" customHeight="1" thickBot="1" x14ac:dyDescent="0.25">
      <c r="B44" s="35" t="s">
        <v>191</v>
      </c>
      <c r="C44" s="147" t="s">
        <v>194</v>
      </c>
      <c r="D44" s="37"/>
      <c r="E44" s="232" t="s">
        <v>192</v>
      </c>
      <c r="F44" s="9" t="s">
        <v>192</v>
      </c>
      <c r="G44" s="9" t="s">
        <v>193</v>
      </c>
      <c r="H44" s="217">
        <v>44562</v>
      </c>
      <c r="I44" s="216" t="s">
        <v>178</v>
      </c>
      <c r="J44" s="65">
        <f>'[1]Summary for IPSIS'!$H$29+'[1]Summary for IPSIS'!$I$29</f>
        <v>0</v>
      </c>
      <c r="K44" s="65">
        <f>'[1]Summary for IPSIS'!$J$29</f>
        <v>0</v>
      </c>
      <c r="L44" s="63">
        <f>SUM(J44:K44)</f>
        <v>0</v>
      </c>
      <c r="M44" s="65">
        <f>'[1]Summary for IPSIS'!$T$29+'[1]Summary for IPSIS'!$U$29</f>
        <v>7524424</v>
      </c>
      <c r="N44" s="65">
        <f>'[1]Summary for IPSIS'!$V$29</f>
        <v>0</v>
      </c>
      <c r="O44" s="63">
        <f>SUM(M44:N44)</f>
        <v>7524424</v>
      </c>
      <c r="P44" s="65">
        <f>'[1]Summary for IPSIS'!$AF$29+'[1]Summary for IPSIS'!$AG$29</f>
        <v>6602872</v>
      </c>
      <c r="Q44" s="63">
        <f>'[1]Summary for IPSIS'!$AH$29</f>
        <v>0</v>
      </c>
      <c r="R44" s="63">
        <f>SUM(P44:Q44)</f>
        <v>6602872</v>
      </c>
      <c r="S44" s="65">
        <f>'[1]Summary for IPSIS'!$AR$29+'[1]Summary for IPSIS'!$AS$29</f>
        <v>6602872</v>
      </c>
      <c r="T44" s="63">
        <f>'[1]Summary for IPSIS'!$AT$29</f>
        <v>0</v>
      </c>
      <c r="U44" s="27">
        <f>SUM(S44:T44)</f>
        <v>6602872</v>
      </c>
      <c r="V44" s="30">
        <f>'[1]Summary for IPSIS'!$BD$29+'[1]Summary for IPSIS'!$BE$29</f>
        <v>6602872</v>
      </c>
      <c r="W44" s="27">
        <f>'[1]Summary for IPSIS'!$BF$29</f>
        <v>0</v>
      </c>
      <c r="X44" s="27">
        <f>V44+W44</f>
        <v>6602872</v>
      </c>
      <c r="Y44" s="27">
        <f>'[1]Summary for IPSIS'!$BP$29+'[1]Summary for IPSIS'!$BQ$29</f>
        <v>0</v>
      </c>
      <c r="Z44" s="27">
        <f>'[1]Summary for IPSIS'!$BR$29</f>
        <v>0</v>
      </c>
      <c r="AA44" s="27">
        <f>SUM(Y44:Z44)</f>
        <v>0</v>
      </c>
      <c r="AB44" s="27">
        <f>'[1]Summary for IPSIS'!$CB$29+'[1]Summary for IPSIS'!$CC$29</f>
        <v>0</v>
      </c>
      <c r="AC44" s="27">
        <f>'[1]Summary for IPSIS'!$CD$29</f>
        <v>0</v>
      </c>
      <c r="AD44" s="27">
        <f>SUM(AB44:AC44)</f>
        <v>0</v>
      </c>
      <c r="AE44" s="27">
        <f>'[1]Summary for IPSIS'!$CN$29+'[1]Summary for IPSIS'!$CO$29</f>
        <v>0</v>
      </c>
      <c r="AF44" s="27">
        <f>'[1]Summary for IPSIS'!$CP$29</f>
        <v>0</v>
      </c>
      <c r="AG44" s="27">
        <f>SUM(AE44:AF44)</f>
        <v>0</v>
      </c>
      <c r="AH44" s="27">
        <f>'[1]Summary for IPSIS'!$CZ$29+'[1]Summary for IPSIS'!$DA$29</f>
        <v>0</v>
      </c>
      <c r="AI44" s="27">
        <f>'[1]Summary for IPSIS'!$DB$29</f>
        <v>0</v>
      </c>
      <c r="AJ44" s="27">
        <f>SUM(AH44:AI44)</f>
        <v>0</v>
      </c>
      <c r="AK44" s="27">
        <f>'[1]Summary for IPSIS'!$DL$29+'[1]Summary for IPSIS'!$DM$29</f>
        <v>0</v>
      </c>
      <c r="AL44" s="27">
        <f>'[1]Summary for IPSIS'!$DN$29</f>
        <v>0</v>
      </c>
      <c r="AM44" s="27">
        <f>SUM(AK44:AL44)</f>
        <v>0</v>
      </c>
      <c r="AN44" s="23">
        <f t="shared" ref="AN44:AO44" si="106">J44+M44+P44+S44+V44+Y44+AB44+AE44+AH44+AK44</f>
        <v>27333040</v>
      </c>
      <c r="AO44" s="23">
        <f t="shared" si="106"/>
        <v>0</v>
      </c>
      <c r="AP44" s="27">
        <f>AN44+AO44</f>
        <v>27333040</v>
      </c>
      <c r="AQ44" s="25">
        <f>0</f>
        <v>0</v>
      </c>
      <c r="AR44" s="29">
        <f>0</f>
        <v>0</v>
      </c>
      <c r="AS44" s="27">
        <f>AQ44+AR44</f>
        <v>0</v>
      </c>
      <c r="AT44" s="30">
        <f>1900416</f>
        <v>1900416</v>
      </c>
      <c r="AU44" s="27">
        <f>0</f>
        <v>0</v>
      </c>
      <c r="AV44" s="27"/>
      <c r="AW44" s="29">
        <f t="shared" ref="AW44" si="107">AT44+AU44</f>
        <v>1900416</v>
      </c>
      <c r="AX44" s="30">
        <f>0</f>
        <v>0</v>
      </c>
      <c r="AY44" s="27">
        <f>0</f>
        <v>0</v>
      </c>
      <c r="AZ44" s="29">
        <f t="shared" ref="AZ44" si="108">AX44+AY44</f>
        <v>0</v>
      </c>
      <c r="BA44" s="251">
        <f t="shared" ref="BA44" si="109">SUM(AZ44+AW44+AS44)-AP44</f>
        <v>-25432624</v>
      </c>
    </row>
    <row r="45" spans="2:61" s="6" customFormat="1" ht="30" customHeight="1" thickBot="1" x14ac:dyDescent="0.25">
      <c r="B45" s="46"/>
      <c r="C45" s="52" t="s">
        <v>5</v>
      </c>
      <c r="D45" s="53"/>
      <c r="E45" s="53"/>
      <c r="F45" s="44"/>
      <c r="G45" s="44"/>
      <c r="H45" s="44"/>
      <c r="I45" s="44"/>
      <c r="J45" s="170">
        <f>SUM(J44)</f>
        <v>0</v>
      </c>
      <c r="K45" s="170">
        <f t="shared" ref="K45:R45" si="110">SUM(K44)</f>
        <v>0</v>
      </c>
      <c r="L45" s="170">
        <f t="shared" si="110"/>
        <v>0</v>
      </c>
      <c r="M45" s="170">
        <f t="shared" si="110"/>
        <v>7524424</v>
      </c>
      <c r="N45" s="170">
        <f t="shared" si="110"/>
        <v>0</v>
      </c>
      <c r="O45" s="170">
        <f t="shared" si="110"/>
        <v>7524424</v>
      </c>
      <c r="P45" s="170">
        <f t="shared" si="110"/>
        <v>6602872</v>
      </c>
      <c r="Q45" s="170">
        <f t="shared" si="110"/>
        <v>0</v>
      </c>
      <c r="R45" s="170">
        <f t="shared" si="110"/>
        <v>6602872</v>
      </c>
      <c r="S45" s="170">
        <f t="shared" ref="S45" si="111">SUM(S44)</f>
        <v>6602872</v>
      </c>
      <c r="T45" s="170">
        <f t="shared" ref="T45" si="112">SUM(T44)</f>
        <v>0</v>
      </c>
      <c r="U45" s="170">
        <f t="shared" ref="U45" si="113">SUM(U44)</f>
        <v>6602872</v>
      </c>
      <c r="V45" s="170">
        <f t="shared" ref="V45" si="114">SUM(V44)</f>
        <v>6602872</v>
      </c>
      <c r="W45" s="170">
        <f t="shared" ref="W45" si="115">SUM(W44)</f>
        <v>0</v>
      </c>
      <c r="X45" s="170">
        <f t="shared" ref="X45" si="116">SUM(X44)</f>
        <v>6602872</v>
      </c>
      <c r="Y45" s="170">
        <f t="shared" ref="Y45" si="117">SUM(Y44)</f>
        <v>0</v>
      </c>
      <c r="Z45" s="170">
        <f t="shared" ref="Z45" si="118">SUM(Z44)</f>
        <v>0</v>
      </c>
      <c r="AA45" s="170">
        <f t="shared" ref="AA45" si="119">SUM(AA44)</f>
        <v>0</v>
      </c>
      <c r="AB45" s="170">
        <f t="shared" ref="AB45" si="120">SUM(AB44)</f>
        <v>0</v>
      </c>
      <c r="AC45" s="170">
        <f t="shared" ref="AC45" si="121">SUM(AC44)</f>
        <v>0</v>
      </c>
      <c r="AD45" s="170">
        <f t="shared" ref="AD45" si="122">SUM(AD44)</f>
        <v>0</v>
      </c>
      <c r="AE45" s="170">
        <f t="shared" ref="AE45" si="123">SUM(AE44)</f>
        <v>0</v>
      </c>
      <c r="AF45" s="170">
        <f t="shared" ref="AF45" si="124">SUM(AF44)</f>
        <v>0</v>
      </c>
      <c r="AG45" s="170">
        <f t="shared" ref="AG45" si="125">SUM(AG44)</f>
        <v>0</v>
      </c>
      <c r="AH45" s="170">
        <f t="shared" ref="AH45" si="126">SUM(AH44)</f>
        <v>0</v>
      </c>
      <c r="AI45" s="170">
        <f t="shared" ref="AI45" si="127">SUM(AI44)</f>
        <v>0</v>
      </c>
      <c r="AJ45" s="170">
        <f t="shared" ref="AJ45" si="128">SUM(AJ44)</f>
        <v>0</v>
      </c>
      <c r="AK45" s="170">
        <f t="shared" ref="AK45" si="129">SUM(AK44)</f>
        <v>0</v>
      </c>
      <c r="AL45" s="170">
        <f t="shared" ref="AL45" si="130">SUM(AL44)</f>
        <v>0</v>
      </c>
      <c r="AM45" s="170">
        <f t="shared" ref="AM45" si="131">SUM(AM44)</f>
        <v>0</v>
      </c>
      <c r="AN45" s="170">
        <f t="shared" ref="AN45" si="132">SUM(AN44)</f>
        <v>27333040</v>
      </c>
      <c r="AO45" s="170">
        <f t="shared" ref="AO45" si="133">SUM(AO44)</f>
        <v>0</v>
      </c>
      <c r="AP45" s="170">
        <f t="shared" ref="AP45" si="134">SUM(AP44)</f>
        <v>27333040</v>
      </c>
      <c r="AQ45" s="170">
        <f t="shared" ref="AQ45" si="135">SUM(AQ44)</f>
        <v>0</v>
      </c>
      <c r="AR45" s="170">
        <f t="shared" ref="AR45" si="136">SUM(AR44)</f>
        <v>0</v>
      </c>
      <c r="AS45" s="170">
        <f t="shared" ref="AS45" si="137">SUM(AS44)</f>
        <v>0</v>
      </c>
      <c r="AT45" s="170">
        <f t="shared" ref="AT45" si="138">SUM(AT44)</f>
        <v>1900416</v>
      </c>
      <c r="AU45" s="170">
        <f t="shared" ref="AU45" si="139">SUM(AU44)</f>
        <v>0</v>
      </c>
      <c r="AV45" s="170">
        <f t="shared" ref="AV45" si="140">SUM(AV44)</f>
        <v>0</v>
      </c>
      <c r="AW45" s="170">
        <f t="shared" ref="AW45" si="141">SUM(AW44)</f>
        <v>1900416</v>
      </c>
      <c r="AX45" s="170">
        <f t="shared" ref="AX45" si="142">SUM(AX44)</f>
        <v>0</v>
      </c>
      <c r="AY45" s="170">
        <f t="shared" ref="AY45" si="143">SUM(AY44)</f>
        <v>0</v>
      </c>
      <c r="AZ45" s="170">
        <f t="shared" ref="AZ45" si="144">SUM(AZ44)</f>
        <v>0</v>
      </c>
      <c r="BA45" s="250">
        <f t="shared" ref="BA45" si="145">SUM(BA44)</f>
        <v>-25432624</v>
      </c>
      <c r="BB45" s="26"/>
      <c r="BC45" s="26"/>
      <c r="BD45" s="26"/>
      <c r="BE45" s="26"/>
      <c r="BF45" s="26"/>
      <c r="BG45" s="26"/>
      <c r="BH45" s="26"/>
      <c r="BI45" s="26"/>
    </row>
    <row r="46" spans="2:61" s="6" customFormat="1" ht="31.9" customHeight="1" thickBot="1" x14ac:dyDescent="0.25">
      <c r="B46" s="46"/>
      <c r="C46" s="301" t="s">
        <v>196</v>
      </c>
      <c r="D46" s="302"/>
      <c r="E46" s="144"/>
      <c r="F46" s="44"/>
      <c r="G46" s="44"/>
      <c r="H46" s="44"/>
      <c r="I46" s="44"/>
      <c r="J46" s="45">
        <f>J41+J45</f>
        <v>5655440</v>
      </c>
      <c r="K46" s="45">
        <f t="shared" ref="K46:M46" si="146">K41+K45</f>
        <v>0</v>
      </c>
      <c r="L46" s="45">
        <f t="shared" si="146"/>
        <v>5655440</v>
      </c>
      <c r="M46" s="45">
        <f t="shared" si="146"/>
        <v>23610072</v>
      </c>
      <c r="N46" s="45">
        <f t="shared" ref="N46" si="147">N41+N45</f>
        <v>0</v>
      </c>
      <c r="O46" s="45">
        <f t="shared" ref="O46" si="148">O41+O45</f>
        <v>23610072</v>
      </c>
      <c r="P46" s="45">
        <f t="shared" ref="P46" si="149">P41+P45</f>
        <v>21562920</v>
      </c>
      <c r="Q46" s="45">
        <f t="shared" ref="Q46" si="150">Q41+Q45</f>
        <v>0</v>
      </c>
      <c r="R46" s="45">
        <f t="shared" ref="R46" si="151">R41+R45</f>
        <v>21562920</v>
      </c>
      <c r="S46" s="45">
        <f t="shared" ref="S46" si="152">S41+S45</f>
        <v>18812520</v>
      </c>
      <c r="T46" s="45">
        <f t="shared" ref="T46" si="153">T41+T45</f>
        <v>0</v>
      </c>
      <c r="U46" s="45">
        <f t="shared" ref="U46" si="154">U41+U45</f>
        <v>18812520</v>
      </c>
      <c r="V46" s="45">
        <f t="shared" ref="V46" si="155">V41+V45</f>
        <v>18920120</v>
      </c>
      <c r="W46" s="45">
        <f t="shared" ref="W46" si="156">W41+W45</f>
        <v>0</v>
      </c>
      <c r="X46" s="45">
        <f t="shared" ref="X46" si="157">X41+X45</f>
        <v>18920120</v>
      </c>
      <c r="Y46" s="45">
        <f t="shared" ref="Y46" si="158">Y41+Y45</f>
        <v>2872800</v>
      </c>
      <c r="Z46" s="45">
        <f t="shared" ref="Z46" si="159">Z41+Z45</f>
        <v>0</v>
      </c>
      <c r="AA46" s="45">
        <f t="shared" ref="AA46" si="160">AA41+AA45</f>
        <v>2872800</v>
      </c>
      <c r="AB46" s="45">
        <f t="shared" ref="AB46" si="161">AB41+AB45</f>
        <v>2736000</v>
      </c>
      <c r="AC46" s="45">
        <f t="shared" ref="AC46" si="162">AC41+AC45</f>
        <v>0</v>
      </c>
      <c r="AD46" s="45">
        <f t="shared" ref="AD46" si="163">AD41+AD45</f>
        <v>2736000</v>
      </c>
      <c r="AE46" s="45">
        <f t="shared" ref="AE46" si="164">AE41+AE45</f>
        <v>2736000</v>
      </c>
      <c r="AF46" s="45">
        <f t="shared" ref="AF46" si="165">AF41+AF45</f>
        <v>0</v>
      </c>
      <c r="AG46" s="45">
        <f t="shared" ref="AG46" si="166">AG41+AG45</f>
        <v>2736000</v>
      </c>
      <c r="AH46" s="45">
        <f t="shared" ref="AH46" si="167">AH41+AH45</f>
        <v>2736000</v>
      </c>
      <c r="AI46" s="45">
        <f t="shared" ref="AI46" si="168">AI41+AI45</f>
        <v>0</v>
      </c>
      <c r="AJ46" s="45">
        <f t="shared" ref="AJ46" si="169">AJ41+AJ45</f>
        <v>2736000</v>
      </c>
      <c r="AK46" s="45">
        <f t="shared" ref="AK46" si="170">AK41+AK45</f>
        <v>2736000</v>
      </c>
      <c r="AL46" s="45">
        <f t="shared" ref="AL46" si="171">AL41+AL45</f>
        <v>0</v>
      </c>
      <c r="AM46" s="45">
        <f t="shared" ref="AM46" si="172">AM41+AM45</f>
        <v>2736000</v>
      </c>
      <c r="AN46" s="45">
        <f t="shared" ref="AN46" si="173">AN41+AN45</f>
        <v>102377872</v>
      </c>
      <c r="AO46" s="45">
        <f t="shared" ref="AO46" si="174">AO41+AO45</f>
        <v>0</v>
      </c>
      <c r="AP46" s="45">
        <f t="shared" ref="AP46" si="175">AP41+AP45</f>
        <v>102377872</v>
      </c>
      <c r="AQ46" s="45">
        <f t="shared" ref="AQ46" si="176">AQ41+AQ45</f>
        <v>16966320</v>
      </c>
      <c r="AR46" s="45">
        <f t="shared" ref="AR46" si="177">AR41+AR45</f>
        <v>0</v>
      </c>
      <c r="AS46" s="45">
        <f t="shared" ref="AS46" si="178">AS41+AS45</f>
        <v>16966320</v>
      </c>
      <c r="AT46" s="45">
        <f t="shared" ref="AT46" si="179">AT41+AT45</f>
        <v>14440416</v>
      </c>
      <c r="AU46" s="45">
        <f t="shared" ref="AU46" si="180">AU41+AU45</f>
        <v>0</v>
      </c>
      <c r="AV46" s="45">
        <f t="shared" ref="AV46" si="181">AV41+AV45</f>
        <v>0</v>
      </c>
      <c r="AW46" s="45">
        <f t="shared" ref="AW46" si="182">AW41+AW45</f>
        <v>14440416</v>
      </c>
      <c r="AX46" s="45">
        <f t="shared" ref="AX46" si="183">AX41+AX45</f>
        <v>11988480</v>
      </c>
      <c r="AY46" s="45">
        <f t="shared" ref="AY46" si="184">AY41+AY45</f>
        <v>0</v>
      </c>
      <c r="AZ46" s="45">
        <f t="shared" ref="AZ46" si="185">AZ41+AZ45</f>
        <v>11988480</v>
      </c>
      <c r="BA46" s="239">
        <f t="shared" ref="BA46" si="186">BA41+BA45</f>
        <v>-58982656</v>
      </c>
      <c r="BB46" s="26"/>
      <c r="BC46" s="26"/>
      <c r="BD46" s="26"/>
      <c r="BE46" s="26"/>
      <c r="BF46" s="26"/>
      <c r="BG46" s="26"/>
      <c r="BH46" s="26"/>
      <c r="BI46" s="26"/>
    </row>
    <row r="47" spans="2:61" s="6" customFormat="1" ht="31.9" customHeight="1" thickBot="1" x14ac:dyDescent="0.3">
      <c r="B47" s="295" t="s">
        <v>195</v>
      </c>
      <c r="C47" s="310"/>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310"/>
      <c r="AO47" s="310"/>
      <c r="AP47" s="310"/>
      <c r="AQ47" s="310"/>
      <c r="AR47" s="310"/>
      <c r="AS47" s="310"/>
      <c r="AT47" s="310"/>
      <c r="AU47" s="310"/>
      <c r="AV47" s="310"/>
      <c r="AW47" s="310"/>
      <c r="AX47" s="310"/>
      <c r="AY47" s="310"/>
      <c r="AZ47" s="310"/>
      <c r="BA47" s="311"/>
      <c r="BB47" s="95"/>
      <c r="BC47" s="26"/>
      <c r="BD47" s="26"/>
      <c r="BE47" s="26"/>
      <c r="BF47" s="26"/>
      <c r="BG47" s="26"/>
      <c r="BH47" s="26"/>
      <c r="BI47" s="26"/>
    </row>
    <row r="48" spans="2:61" ht="31.9" customHeight="1" thickBot="1" x14ac:dyDescent="0.25">
      <c r="B48" s="286" t="s">
        <v>105</v>
      </c>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287"/>
      <c r="AN48" s="287"/>
      <c r="AO48" s="287"/>
      <c r="AP48" s="287"/>
      <c r="AQ48" s="287"/>
      <c r="AR48" s="287"/>
      <c r="AS48" s="287"/>
      <c r="AT48" s="287"/>
      <c r="AU48" s="287"/>
      <c r="AV48" s="287"/>
      <c r="AW48" s="287"/>
      <c r="AX48" s="287"/>
      <c r="AY48" s="287"/>
      <c r="AZ48" s="287"/>
      <c r="BA48" s="288"/>
    </row>
    <row r="49" spans="2:61" s="6" customFormat="1" ht="31.9" customHeight="1" x14ac:dyDescent="0.2">
      <c r="B49" s="263" t="s">
        <v>0</v>
      </c>
      <c r="C49" s="269" t="s">
        <v>32</v>
      </c>
      <c r="D49" s="269" t="s">
        <v>1</v>
      </c>
      <c r="E49" s="132" t="s">
        <v>33</v>
      </c>
      <c r="F49" s="269" t="s">
        <v>99</v>
      </c>
      <c r="G49" s="269"/>
      <c r="H49" s="289" t="s">
        <v>37</v>
      </c>
      <c r="I49" s="289"/>
      <c r="J49" s="272" t="s">
        <v>40</v>
      </c>
      <c r="K49" s="272"/>
      <c r="L49" s="272"/>
      <c r="M49" s="272" t="s">
        <v>41</v>
      </c>
      <c r="N49" s="272"/>
      <c r="O49" s="272"/>
      <c r="P49" s="272" t="s">
        <v>42</v>
      </c>
      <c r="Q49" s="275"/>
      <c r="R49" s="275"/>
      <c r="S49" s="273" t="s">
        <v>43</v>
      </c>
      <c r="T49" s="273"/>
      <c r="U49" s="273"/>
      <c r="V49" s="273" t="s">
        <v>44</v>
      </c>
      <c r="W49" s="273"/>
      <c r="X49" s="273"/>
      <c r="Y49" s="273" t="s">
        <v>108</v>
      </c>
      <c r="Z49" s="273"/>
      <c r="AA49" s="273"/>
      <c r="AB49" s="273" t="s">
        <v>109</v>
      </c>
      <c r="AC49" s="273"/>
      <c r="AD49" s="273"/>
      <c r="AE49" s="273" t="s">
        <v>110</v>
      </c>
      <c r="AF49" s="273"/>
      <c r="AG49" s="273"/>
      <c r="AH49" s="273" t="s">
        <v>111</v>
      </c>
      <c r="AI49" s="273"/>
      <c r="AJ49" s="273"/>
      <c r="AK49" s="273" t="s">
        <v>112</v>
      </c>
      <c r="AL49" s="273"/>
      <c r="AM49" s="273"/>
      <c r="AN49" s="273" t="s">
        <v>45</v>
      </c>
      <c r="AO49" s="275"/>
      <c r="AP49" s="275"/>
      <c r="AQ49" s="272" t="s">
        <v>46</v>
      </c>
      <c r="AR49" s="272"/>
      <c r="AS49" s="272"/>
      <c r="AT49" s="272"/>
      <c r="AU49" s="272"/>
      <c r="AV49" s="272"/>
      <c r="AW49" s="272"/>
      <c r="AX49" s="272" t="s">
        <v>52</v>
      </c>
      <c r="AY49" s="278"/>
      <c r="AZ49" s="278"/>
      <c r="BA49" s="299" t="s">
        <v>53</v>
      </c>
      <c r="BB49" s="26"/>
      <c r="BC49" s="26"/>
      <c r="BD49" s="26"/>
      <c r="BE49" s="26"/>
      <c r="BF49" s="26"/>
      <c r="BG49" s="26"/>
      <c r="BH49" s="26"/>
      <c r="BI49" s="26"/>
    </row>
    <row r="50" spans="2:61" s="6" customFormat="1" ht="31.9" customHeight="1" x14ac:dyDescent="0.2">
      <c r="B50" s="264"/>
      <c r="C50" s="267"/>
      <c r="D50" s="267"/>
      <c r="E50" s="267" t="s">
        <v>34</v>
      </c>
      <c r="F50" s="279" t="s">
        <v>35</v>
      </c>
      <c r="G50" s="279" t="s">
        <v>36</v>
      </c>
      <c r="H50" s="281" t="s">
        <v>38</v>
      </c>
      <c r="I50" s="281" t="s">
        <v>38</v>
      </c>
      <c r="J50" s="270"/>
      <c r="K50" s="270"/>
      <c r="L50" s="270"/>
      <c r="M50" s="270"/>
      <c r="N50" s="270"/>
      <c r="O50" s="270"/>
      <c r="P50" s="276"/>
      <c r="Q50" s="276"/>
      <c r="R50" s="276"/>
      <c r="S50" s="274"/>
      <c r="T50" s="274"/>
      <c r="U50" s="274"/>
      <c r="V50" s="274"/>
      <c r="W50" s="274"/>
      <c r="X50" s="274"/>
      <c r="Y50" s="274"/>
      <c r="Z50" s="274"/>
      <c r="AA50" s="274"/>
      <c r="AB50" s="274"/>
      <c r="AC50" s="274"/>
      <c r="AD50" s="274"/>
      <c r="AE50" s="274"/>
      <c r="AF50" s="274"/>
      <c r="AG50" s="274"/>
      <c r="AH50" s="274"/>
      <c r="AI50" s="274"/>
      <c r="AJ50" s="274"/>
      <c r="AK50" s="274"/>
      <c r="AL50" s="274"/>
      <c r="AM50" s="274"/>
      <c r="AN50" s="276"/>
      <c r="AO50" s="276"/>
      <c r="AP50" s="276"/>
      <c r="AQ50" s="270" t="s">
        <v>48</v>
      </c>
      <c r="AR50" s="271"/>
      <c r="AS50" s="271"/>
      <c r="AT50" s="270" t="s">
        <v>49</v>
      </c>
      <c r="AU50" s="290"/>
      <c r="AV50" s="290"/>
      <c r="AW50" s="290"/>
      <c r="AX50" s="277" t="s">
        <v>55</v>
      </c>
      <c r="AY50" s="277"/>
      <c r="AZ50" s="277"/>
      <c r="BA50" s="300"/>
      <c r="BB50" s="26"/>
      <c r="BC50" s="26"/>
      <c r="BD50" s="26"/>
      <c r="BE50" s="26"/>
      <c r="BF50" s="26"/>
      <c r="BG50" s="26"/>
      <c r="BH50" s="26"/>
      <c r="BI50" s="26"/>
    </row>
    <row r="51" spans="2:61" s="6" customFormat="1" ht="31.9" customHeight="1" thickBot="1" x14ac:dyDescent="0.25">
      <c r="B51" s="265"/>
      <c r="C51" s="294"/>
      <c r="D51" s="294"/>
      <c r="E51" s="294"/>
      <c r="F51" s="292"/>
      <c r="G51" s="292"/>
      <c r="H51" s="293"/>
      <c r="I51" s="293"/>
      <c r="J51" s="156" t="s">
        <v>11</v>
      </c>
      <c r="K51" s="157" t="s">
        <v>12</v>
      </c>
      <c r="L51" s="157" t="s">
        <v>54</v>
      </c>
      <c r="M51" s="156" t="s">
        <v>11</v>
      </c>
      <c r="N51" s="157" t="s">
        <v>12</v>
      </c>
      <c r="O51" s="157" t="s">
        <v>54</v>
      </c>
      <c r="P51" s="156" t="s">
        <v>11</v>
      </c>
      <c r="Q51" s="157" t="s">
        <v>12</v>
      </c>
      <c r="R51" s="157" t="s">
        <v>54</v>
      </c>
      <c r="S51" s="156" t="s">
        <v>11</v>
      </c>
      <c r="T51" s="157" t="s">
        <v>12</v>
      </c>
      <c r="U51" s="157" t="s">
        <v>54</v>
      </c>
      <c r="V51" s="156" t="s">
        <v>11</v>
      </c>
      <c r="W51" s="157" t="s">
        <v>12</v>
      </c>
      <c r="X51" s="157" t="s">
        <v>54</v>
      </c>
      <c r="Y51" s="156" t="s">
        <v>11</v>
      </c>
      <c r="Z51" s="157" t="s">
        <v>12</v>
      </c>
      <c r="AA51" s="157" t="s">
        <v>16</v>
      </c>
      <c r="AB51" s="156" t="s">
        <v>11</v>
      </c>
      <c r="AC51" s="157" t="s">
        <v>12</v>
      </c>
      <c r="AD51" s="157" t="s">
        <v>16</v>
      </c>
      <c r="AE51" s="156" t="s">
        <v>11</v>
      </c>
      <c r="AF51" s="157" t="s">
        <v>12</v>
      </c>
      <c r="AG51" s="157" t="s">
        <v>16</v>
      </c>
      <c r="AH51" s="156" t="s">
        <v>11</v>
      </c>
      <c r="AI51" s="157" t="s">
        <v>12</v>
      </c>
      <c r="AJ51" s="157" t="s">
        <v>16</v>
      </c>
      <c r="AK51" s="156" t="s">
        <v>11</v>
      </c>
      <c r="AL51" s="157" t="s">
        <v>12</v>
      </c>
      <c r="AM51" s="157" t="s">
        <v>16</v>
      </c>
      <c r="AN51" s="157" t="s">
        <v>11</v>
      </c>
      <c r="AO51" s="157" t="s">
        <v>12</v>
      </c>
      <c r="AP51" s="157" t="s">
        <v>54</v>
      </c>
      <c r="AQ51" s="156" t="s">
        <v>11</v>
      </c>
      <c r="AR51" s="157" t="s">
        <v>12</v>
      </c>
      <c r="AS51" s="157" t="s">
        <v>47</v>
      </c>
      <c r="AT51" s="156" t="s">
        <v>11</v>
      </c>
      <c r="AU51" s="157" t="s">
        <v>12</v>
      </c>
      <c r="AV51" s="157" t="s">
        <v>50</v>
      </c>
      <c r="AW51" s="157" t="s">
        <v>51</v>
      </c>
      <c r="AX51" s="156" t="s">
        <v>11</v>
      </c>
      <c r="AY51" s="157" t="s">
        <v>12</v>
      </c>
      <c r="AZ51" s="157" t="s">
        <v>54</v>
      </c>
      <c r="BA51" s="158"/>
      <c r="BB51" s="26"/>
      <c r="BC51" s="26"/>
      <c r="BD51" s="26"/>
      <c r="BE51" s="26"/>
      <c r="BF51" s="26"/>
      <c r="BG51" s="26"/>
      <c r="BH51" s="26"/>
      <c r="BI51" s="26"/>
    </row>
    <row r="52" spans="2:61" s="6" customFormat="1" ht="82.15" customHeight="1" x14ac:dyDescent="0.2">
      <c r="B52" s="131">
        <v>3.1</v>
      </c>
      <c r="C52" s="260" t="s">
        <v>197</v>
      </c>
      <c r="D52" s="261"/>
      <c r="E52" s="159"/>
      <c r="F52" s="68"/>
      <c r="G52" s="68"/>
      <c r="H52" s="69"/>
      <c r="I52" s="69"/>
      <c r="J52" s="258"/>
      <c r="K52" s="258"/>
      <c r="L52" s="258"/>
      <c r="M52" s="70"/>
      <c r="N52" s="70"/>
      <c r="O52" s="72"/>
      <c r="P52" s="258"/>
      <c r="Q52" s="258"/>
      <c r="R52" s="258"/>
      <c r="S52" s="70"/>
      <c r="T52" s="72"/>
      <c r="U52" s="72"/>
      <c r="V52" s="258"/>
      <c r="W52" s="258"/>
      <c r="X52" s="258"/>
      <c r="Y52" s="72"/>
      <c r="Z52" s="72"/>
      <c r="AA52" s="72"/>
      <c r="AB52" s="258"/>
      <c r="AC52" s="258"/>
      <c r="AD52" s="258"/>
      <c r="AE52" s="72"/>
      <c r="AF52" s="72"/>
      <c r="AG52" s="72"/>
      <c r="AH52" s="258"/>
      <c r="AI52" s="258"/>
      <c r="AJ52" s="258"/>
      <c r="AK52" s="72"/>
      <c r="AL52" s="72"/>
      <c r="AM52" s="72"/>
      <c r="AN52" s="258"/>
      <c r="AO52" s="258"/>
      <c r="AP52" s="258"/>
      <c r="AQ52" s="70"/>
      <c r="AR52" s="72"/>
      <c r="AS52" s="72"/>
      <c r="AT52" s="258"/>
      <c r="AU52" s="258"/>
      <c r="AV52" s="258"/>
      <c r="AW52" s="258"/>
      <c r="AX52" s="70"/>
      <c r="AY52" s="72"/>
      <c r="AZ52" s="72"/>
      <c r="BA52" s="71"/>
      <c r="BB52" s="26"/>
      <c r="BC52" s="26"/>
      <c r="BD52" s="26"/>
      <c r="BE52" s="26"/>
      <c r="BF52" s="26"/>
      <c r="BG52" s="26"/>
      <c r="BH52" s="26"/>
      <c r="BI52" s="26"/>
    </row>
    <row r="53" spans="2:61" ht="31.9" customHeight="1" x14ac:dyDescent="0.2">
      <c r="B53" s="208"/>
      <c r="C53" s="209" t="s">
        <v>56</v>
      </c>
      <c r="D53" s="229"/>
      <c r="E53" s="229"/>
      <c r="F53" s="230"/>
      <c r="G53" s="230"/>
      <c r="H53" s="230"/>
      <c r="I53" s="230"/>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6"/>
    </row>
    <row r="54" spans="2:61" ht="48.6" customHeight="1" x14ac:dyDescent="0.2">
      <c r="B54" s="36" t="s">
        <v>198</v>
      </c>
      <c r="C54" s="145" t="s">
        <v>201</v>
      </c>
      <c r="D54" s="34"/>
      <c r="E54" s="146" t="s">
        <v>202</v>
      </c>
      <c r="F54" s="14" t="s">
        <v>59</v>
      </c>
      <c r="G54" s="15" t="s">
        <v>203</v>
      </c>
      <c r="H54" s="217">
        <v>44562</v>
      </c>
      <c r="I54" s="216" t="s">
        <v>120</v>
      </c>
      <c r="J54" s="138">
        <f>'[1]Summary for IPSIS'!$H$32+'[1]Summary for IPSIS'!$I$32</f>
        <v>1824000</v>
      </c>
      <c r="K54" s="124">
        <f>'[1]Summary for IPSIS'!$J$32</f>
        <v>0</v>
      </c>
      <c r="L54" s="124">
        <f>SUM(J54:K54)</f>
        <v>1824000</v>
      </c>
      <c r="M54" s="138">
        <f>'[1]Summary for IPSIS'!$T$32+'[1]Summary for IPSIS'!$U$32</f>
        <v>2972000</v>
      </c>
      <c r="N54" s="124">
        <f>'[1]Summary for IPSIS'!$V$32</f>
        <v>0</v>
      </c>
      <c r="O54" s="124">
        <f>M54+N54</f>
        <v>2972000</v>
      </c>
      <c r="P54" s="138">
        <f>'[1]Summary for IPSIS'!$AF$32+'[1]Summary for IPSIS'!$AG$32</f>
        <v>0</v>
      </c>
      <c r="Q54" s="124">
        <f>'[1]Summary for IPSIS'!$AH$32</f>
        <v>0</v>
      </c>
      <c r="R54" s="124">
        <f>P54+Q54</f>
        <v>0</v>
      </c>
      <c r="S54" s="138">
        <f>'[1]Summary for IPSIS'!$AR$32+'[1]Summary for IPSIS'!$AS$32</f>
        <v>0</v>
      </c>
      <c r="T54" s="124">
        <f>'[1]Summary for IPSIS'!$AT$32</f>
        <v>0</v>
      </c>
      <c r="U54" s="124">
        <f>S54+T54</f>
        <v>0</v>
      </c>
      <c r="V54" s="138">
        <f>'[1]Summary for IPSIS'!$BD$32+'[1]Summary for IPSIS'!$BE$32</f>
        <v>0</v>
      </c>
      <c r="W54" s="124">
        <f>'[1]Summary for IPSIS'!$BF$32</f>
        <v>0</v>
      </c>
      <c r="X54" s="124">
        <f>V54+W54</f>
        <v>0</v>
      </c>
      <c r="Y54" s="124">
        <f>'[1]Summary for IPSIS'!$BP$32+'[1]Summary for IPSIS'!$BQ$32</f>
        <v>0</v>
      </c>
      <c r="Z54" s="124">
        <f>'[1]Summary for IPSIS'!$BR$32</f>
        <v>0</v>
      </c>
      <c r="AA54" s="124">
        <f>SUM(Y54:Z54)</f>
        <v>0</v>
      </c>
      <c r="AB54" s="124">
        <f>'[1]Summary for IPSIS'!$CB$32+'[1]Summary for IPSIS'!$CC$32</f>
        <v>0</v>
      </c>
      <c r="AC54" s="124">
        <f>'[1]Summary for IPSIS'!$CD$32</f>
        <v>0</v>
      </c>
      <c r="AD54" s="124">
        <f>SUM(AB54:AC54)</f>
        <v>0</v>
      </c>
      <c r="AE54" s="124">
        <f>'[1]Summary for IPSIS'!$CN$32+'[1]Summary for IPSIS'!$CO$32</f>
        <v>0</v>
      </c>
      <c r="AF54" s="124">
        <f>'[1]Summary for IPSIS'!$CP$32</f>
        <v>0</v>
      </c>
      <c r="AG54" s="124">
        <f>SUM(AE54:AF54)</f>
        <v>0</v>
      </c>
      <c r="AH54" s="124">
        <f>'[1]Summary for IPSIS'!$CZ$32+'[1]Summary for IPSIS'!$DA$32</f>
        <v>0</v>
      </c>
      <c r="AI54" s="124">
        <f>'[1]Summary for IPSIS'!$DB$32</f>
        <v>0</v>
      </c>
      <c r="AJ54" s="124">
        <f>SUM(AH54:AI54)</f>
        <v>0</v>
      </c>
      <c r="AK54" s="124">
        <f>'[1]Summary for IPSIS'!$DL$32+'[1]Summary for IPSIS'!$DM$32</f>
        <v>0</v>
      </c>
      <c r="AL54" s="124">
        <f>'[1]Summary for IPSIS'!$DN$32</f>
        <v>0</v>
      </c>
      <c r="AM54" s="124">
        <f>SUM(AK54:AL54)</f>
        <v>0</v>
      </c>
      <c r="AN54" s="23">
        <f t="shared" ref="AN54:AO56" si="187">J54+M54+P54+S54+V54+Y54+AB54+AE54+AH54+AK54</f>
        <v>4796000</v>
      </c>
      <c r="AO54" s="23">
        <f t="shared" si="187"/>
        <v>0</v>
      </c>
      <c r="AP54" s="124">
        <f>AN54+AO54</f>
        <v>4796000</v>
      </c>
      <c r="AQ54" s="138">
        <f>677600</f>
        <v>677600</v>
      </c>
      <c r="AR54" s="124">
        <f>0</f>
        <v>0</v>
      </c>
      <c r="AS54" s="124">
        <f>AQ54+AR54</f>
        <v>677600</v>
      </c>
      <c r="AT54" s="138">
        <v>4118400</v>
      </c>
      <c r="AU54" s="124">
        <f>0</f>
        <v>0</v>
      </c>
      <c r="AV54" s="124"/>
      <c r="AW54" s="124">
        <f>AT54+AU54</f>
        <v>4118400</v>
      </c>
      <c r="AX54" s="138">
        <f>0</f>
        <v>0</v>
      </c>
      <c r="AY54" s="124">
        <f>0</f>
        <v>0</v>
      </c>
      <c r="AZ54" s="124">
        <f>SUM(AX54:AY54)</f>
        <v>0</v>
      </c>
      <c r="BA54" s="161">
        <f t="shared" ref="BA54:BA56" si="188">SUM(AZ54+AW54+AS54)-AP54</f>
        <v>0</v>
      </c>
    </row>
    <row r="55" spans="2:61" ht="42.6" customHeight="1" x14ac:dyDescent="0.2">
      <c r="B55" s="36" t="s">
        <v>199</v>
      </c>
      <c r="C55" s="145" t="s">
        <v>205</v>
      </c>
      <c r="D55" s="34"/>
      <c r="E55" s="146" t="s">
        <v>204</v>
      </c>
      <c r="F55" s="9" t="s">
        <v>207</v>
      </c>
      <c r="G55" s="9" t="s">
        <v>206</v>
      </c>
      <c r="H55" s="217">
        <v>44203</v>
      </c>
      <c r="I55" s="216" t="s">
        <v>178</v>
      </c>
      <c r="J55" s="138">
        <f>'[1]Summary for IPSIS'!$H$33+'[1]Summary for IPSIS'!$I$33</f>
        <v>9688483.1999999993</v>
      </c>
      <c r="K55" s="124">
        <f>'[1]Summary for IPSIS'!$J$33</f>
        <v>0</v>
      </c>
      <c r="L55" s="124">
        <f t="shared" ref="L55:L56" si="189">SUM(J55:K55)</f>
        <v>9688483.1999999993</v>
      </c>
      <c r="M55" s="138">
        <f>'[1]Summary for IPSIS'!$T$33+'[1]Summary for IPSIS'!$U$33</f>
        <v>41081683.200000003</v>
      </c>
      <c r="N55" s="124">
        <f>'[1]Summary for IPSIS'!$V$33</f>
        <v>460000</v>
      </c>
      <c r="O55" s="124">
        <f t="shared" ref="O55:O56" si="190">M55+N55</f>
        <v>41541683.200000003</v>
      </c>
      <c r="P55" s="138">
        <f>'[1]Summary for IPSIS'!$AF$33+'[1]Summary for IPSIS'!$AG$33</f>
        <v>14225683.199999999</v>
      </c>
      <c r="Q55" s="124">
        <f>'[1]Summary for IPSIS'!$AH$33</f>
        <v>460000</v>
      </c>
      <c r="R55" s="124">
        <f t="shared" ref="R55:R56" si="191">P55+Q55</f>
        <v>14685683.199999999</v>
      </c>
      <c r="S55" s="138">
        <f>'[1]Summary for IPSIS'!$AR$33+'[1]Summary for IPSIS'!$AS$33</f>
        <v>8822083.1999999993</v>
      </c>
      <c r="T55" s="124">
        <f>'[1]Summary for IPSIS'!$AT$33</f>
        <v>0</v>
      </c>
      <c r="U55" s="124">
        <f t="shared" ref="U55:U56" si="192">S55+T55</f>
        <v>8822083.1999999993</v>
      </c>
      <c r="V55" s="138">
        <f>'[1]Summary for IPSIS'!$BD$33+'[1]Summary for IPSIS'!$BE$33</f>
        <v>8822083.1999999993</v>
      </c>
      <c r="W55" s="124">
        <f>'[1]Summary for IPSIS'!$BF$33</f>
        <v>0</v>
      </c>
      <c r="X55" s="124">
        <f t="shared" ref="X55:X56" si="193">V55+W55</f>
        <v>8822083.1999999993</v>
      </c>
      <c r="Y55" s="124">
        <f>'[1]Summary for IPSIS'!$BP$33+'[1]Summary for IPSIS'!$BQ$33</f>
        <v>5307792</v>
      </c>
      <c r="Z55" s="124">
        <f>'[1]Summary for IPSIS'!$BR$33</f>
        <v>0</v>
      </c>
      <c r="AA55" s="124">
        <f t="shared" ref="AA55:AA56" si="194">SUM(Y55:Z55)</f>
        <v>5307792</v>
      </c>
      <c r="AB55" s="124">
        <f>'[1]Summary for IPSIS'!$CB$33+'[1]Summary for IPSIS'!$CC$33</f>
        <v>5307792</v>
      </c>
      <c r="AC55" s="124">
        <f>'[1]Summary for IPSIS'!$CD$33</f>
        <v>0</v>
      </c>
      <c r="AD55" s="124">
        <f t="shared" ref="AD55:AD56" si="195">SUM(AB55:AC55)</f>
        <v>5307792</v>
      </c>
      <c r="AE55" s="124">
        <f>'[1]Summary for IPSIS'!$CN$33+'[1]Summary for IPSIS'!$CO$33</f>
        <v>5307792</v>
      </c>
      <c r="AF55" s="124">
        <f>'[1]Summary for IPSIS'!$CP$33</f>
        <v>0</v>
      </c>
      <c r="AG55" s="124">
        <f t="shared" ref="AG55:AG56" si="196">SUM(AE55:AF55)</f>
        <v>5307792</v>
      </c>
      <c r="AH55" s="124">
        <f>'[1]Summary for IPSIS'!$CZ$33+'[1]Summary for IPSIS'!$DA$33</f>
        <v>5307792</v>
      </c>
      <c r="AI55" s="124">
        <f>'[1]Summary for IPSIS'!$DB$33</f>
        <v>0</v>
      </c>
      <c r="AJ55" s="124">
        <f t="shared" ref="AJ55:AJ56" si="197">SUM(AH55:AI55)</f>
        <v>5307792</v>
      </c>
      <c r="AK55" s="124">
        <f>'[1]Summary for IPSIS'!$DL$33+'[1]Summary for IPSIS'!$DM$33</f>
        <v>5307792</v>
      </c>
      <c r="AL55" s="124">
        <f>'[1]Summary for IPSIS'!$DN$33</f>
        <v>0</v>
      </c>
      <c r="AM55" s="124">
        <f t="shared" ref="AM55:AM56" si="198">SUM(AK55:AL55)</f>
        <v>5307792</v>
      </c>
      <c r="AN55" s="23">
        <f t="shared" si="187"/>
        <v>109178976.00000001</v>
      </c>
      <c r="AO55" s="23">
        <f t="shared" si="187"/>
        <v>920000</v>
      </c>
      <c r="AP55" s="124">
        <f t="shared" ref="AP55:AP56" si="199">AN55+AO55</f>
        <v>110098976.00000001</v>
      </c>
      <c r="AQ55" s="30">
        <f>2*4988592+5170992</f>
        <v>15148176</v>
      </c>
      <c r="AR55" s="27">
        <f>0</f>
        <v>0</v>
      </c>
      <c r="AS55" s="124">
        <f t="shared" ref="AS55:AS56" si="200">AQ55+AR55</f>
        <v>15148176</v>
      </c>
      <c r="AT55" s="30">
        <v>27950400</v>
      </c>
      <c r="AU55" s="27">
        <f>0</f>
        <v>0</v>
      </c>
      <c r="AV55" s="27"/>
      <c r="AW55" s="124">
        <f t="shared" ref="AW55:AW56" si="201">AT55+AU55</f>
        <v>27950400</v>
      </c>
      <c r="AX55" s="30">
        <f>37154544</f>
        <v>37154544</v>
      </c>
      <c r="AY55" s="27"/>
      <c r="AZ55" s="124">
        <f t="shared" ref="AZ55:AZ56" si="202">SUM(AX55:AY55)</f>
        <v>37154544</v>
      </c>
      <c r="BA55" s="161">
        <f t="shared" si="188"/>
        <v>-29845856.000000015</v>
      </c>
    </row>
    <row r="56" spans="2:61" s="16" customFormat="1" ht="31.9" customHeight="1" thickBot="1" x14ac:dyDescent="0.25">
      <c r="B56" s="36" t="s">
        <v>200</v>
      </c>
      <c r="C56" s="147" t="s">
        <v>208</v>
      </c>
      <c r="D56" s="37"/>
      <c r="E56" s="146" t="s">
        <v>62</v>
      </c>
      <c r="F56" s="10" t="s">
        <v>57</v>
      </c>
      <c r="G56" s="10" t="s">
        <v>209</v>
      </c>
      <c r="H56" s="217">
        <v>44562</v>
      </c>
      <c r="I56" s="216" t="s">
        <v>178</v>
      </c>
      <c r="J56" s="138">
        <f>'[1]Summary for IPSIS'!$H$34+'[1]Summary for IPSIS'!$I$34</f>
        <v>0</v>
      </c>
      <c r="K56" s="124">
        <f>'[1]Summary for IPSIS'!$J$34</f>
        <v>0</v>
      </c>
      <c r="L56" s="124">
        <f t="shared" si="189"/>
        <v>0</v>
      </c>
      <c r="M56" s="138">
        <f>'[1]Summary for IPSIS'!$T$34+'[1]Summary for IPSIS'!$U$34</f>
        <v>1368000</v>
      </c>
      <c r="N56" s="124">
        <f>'[1]Summary for IPSIS'!$V$34</f>
        <v>0</v>
      </c>
      <c r="O56" s="124">
        <f t="shared" si="190"/>
        <v>1368000</v>
      </c>
      <c r="P56" s="138">
        <f>'[1]Summary for IPSIS'!$AF$34+'[1]Summary for IPSIS'!$AG$34</f>
        <v>2736000</v>
      </c>
      <c r="Q56" s="124">
        <f>'[1]Summary for IPSIS'!$AH$34</f>
        <v>11500000</v>
      </c>
      <c r="R56" s="124">
        <f t="shared" si="191"/>
        <v>14236000</v>
      </c>
      <c r="S56" s="138">
        <f>'[1]Summary for IPSIS'!$AR$34+'[1]Summary for IPSIS'!$AS$34</f>
        <v>3078000</v>
      </c>
      <c r="T56" s="124">
        <f>'[1]Summary for IPSIS'!$AT$34</f>
        <v>23000000</v>
      </c>
      <c r="U56" s="124">
        <f t="shared" si="192"/>
        <v>26078000</v>
      </c>
      <c r="V56" s="138">
        <f>'[1]Summary for IPSIS'!$BD$34+'[1]Summary for IPSIS'!$BE$34</f>
        <v>3078000</v>
      </c>
      <c r="W56" s="124">
        <f>'[1]Summary for IPSIS'!$BF$34</f>
        <v>34500000</v>
      </c>
      <c r="X56" s="124">
        <f t="shared" si="193"/>
        <v>37578000</v>
      </c>
      <c r="Y56" s="124">
        <f>'[1]Summary for IPSIS'!$BP$34+'[1]Summary for IPSIS'!$BQ$34</f>
        <v>0</v>
      </c>
      <c r="Z56" s="124">
        <f>'[1]Summary for IPSIS'!$BR$34</f>
        <v>34500000</v>
      </c>
      <c r="AA56" s="124">
        <f t="shared" si="194"/>
        <v>34500000</v>
      </c>
      <c r="AB56" s="124">
        <f>'[1]Summary for IPSIS'!$CB$34+'[1]Summary for IPSIS'!$CC$34</f>
        <v>0</v>
      </c>
      <c r="AC56" s="124">
        <f>'[1]Summary for IPSIS'!$CD$34</f>
        <v>34500000</v>
      </c>
      <c r="AD56" s="124">
        <f t="shared" si="195"/>
        <v>34500000</v>
      </c>
      <c r="AE56" s="124">
        <f>'[1]Summary for IPSIS'!$CN$34+'[1]Summary for IPSIS'!$CO$34</f>
        <v>0</v>
      </c>
      <c r="AF56" s="124">
        <f>'[1]Summary for IPSIS'!$CP$34</f>
        <v>34500000</v>
      </c>
      <c r="AG56" s="124">
        <f t="shared" si="196"/>
        <v>34500000</v>
      </c>
      <c r="AH56" s="124">
        <f>'[1]Summary for IPSIS'!$CZ$34+'[1]Summary for IPSIS'!$DA$34</f>
        <v>0</v>
      </c>
      <c r="AI56" s="124">
        <f>'[1]Summary for IPSIS'!$DB$34</f>
        <v>34500000</v>
      </c>
      <c r="AJ56" s="124">
        <f t="shared" si="197"/>
        <v>34500000</v>
      </c>
      <c r="AK56" s="124">
        <f>'[1]Summary for IPSIS'!$DL$34+'[1]Summary for IPSIS'!$DM$34</f>
        <v>0</v>
      </c>
      <c r="AL56" s="124">
        <f>'[1]Summary for IPSIS'!$DN$34</f>
        <v>34500000</v>
      </c>
      <c r="AM56" s="124">
        <f t="shared" si="198"/>
        <v>34500000</v>
      </c>
      <c r="AN56" s="23">
        <f t="shared" si="187"/>
        <v>10260000</v>
      </c>
      <c r="AO56" s="23">
        <f t="shared" si="187"/>
        <v>241500000</v>
      </c>
      <c r="AP56" s="124">
        <f t="shared" si="199"/>
        <v>251760000</v>
      </c>
      <c r="AQ56" s="30">
        <f>0</f>
        <v>0</v>
      </c>
      <c r="AR56" s="30">
        <f>11500000</f>
        <v>11500000</v>
      </c>
      <c r="AS56" s="124">
        <f t="shared" si="200"/>
        <v>11500000</v>
      </c>
      <c r="AT56" s="30">
        <v>2736000</v>
      </c>
      <c r="AU56" s="30">
        <f>0</f>
        <v>0</v>
      </c>
      <c r="AV56" s="30"/>
      <c r="AW56" s="124">
        <f t="shared" si="201"/>
        <v>2736000</v>
      </c>
      <c r="AX56" s="30">
        <f>0</f>
        <v>0</v>
      </c>
      <c r="AY56" s="30">
        <f>23000000+6*34500000</f>
        <v>230000000</v>
      </c>
      <c r="AZ56" s="124">
        <f t="shared" si="202"/>
        <v>230000000</v>
      </c>
      <c r="BA56" s="161">
        <f t="shared" si="188"/>
        <v>-7524000</v>
      </c>
    </row>
    <row r="57" spans="2:61" s="6" customFormat="1" ht="34.9" customHeight="1" thickBot="1" x14ac:dyDescent="0.25">
      <c r="B57" s="46"/>
      <c r="C57" s="52" t="s">
        <v>7</v>
      </c>
      <c r="D57" s="53"/>
      <c r="E57" s="53"/>
      <c r="F57" s="44"/>
      <c r="G57" s="44"/>
      <c r="H57" s="44"/>
      <c r="I57" s="44"/>
      <c r="J57" s="45">
        <f t="shared" ref="J57:X57" si="203">SUM(J54:J56)</f>
        <v>11512483.199999999</v>
      </c>
      <c r="K57" s="45">
        <f t="shared" si="203"/>
        <v>0</v>
      </c>
      <c r="L57" s="45">
        <f t="shared" si="203"/>
        <v>11512483.199999999</v>
      </c>
      <c r="M57" s="45">
        <f t="shared" si="203"/>
        <v>45421683.200000003</v>
      </c>
      <c r="N57" s="45">
        <f t="shared" si="203"/>
        <v>460000</v>
      </c>
      <c r="O57" s="45">
        <f t="shared" si="203"/>
        <v>45881683.200000003</v>
      </c>
      <c r="P57" s="45">
        <f t="shared" si="203"/>
        <v>16961683.199999999</v>
      </c>
      <c r="Q57" s="45">
        <f t="shared" si="203"/>
        <v>11960000</v>
      </c>
      <c r="R57" s="45">
        <f t="shared" si="203"/>
        <v>28921683.199999999</v>
      </c>
      <c r="S57" s="45">
        <f t="shared" si="203"/>
        <v>11900083.199999999</v>
      </c>
      <c r="T57" s="45">
        <f t="shared" si="203"/>
        <v>23000000</v>
      </c>
      <c r="U57" s="45">
        <f t="shared" si="203"/>
        <v>34900083.200000003</v>
      </c>
      <c r="V57" s="45">
        <f t="shared" si="203"/>
        <v>11900083.199999999</v>
      </c>
      <c r="W57" s="45">
        <f t="shared" si="203"/>
        <v>34500000</v>
      </c>
      <c r="X57" s="45">
        <f t="shared" si="203"/>
        <v>46400083.200000003</v>
      </c>
      <c r="Y57" s="45">
        <f t="shared" ref="Y57" si="204">SUM(Y54:Y56)</f>
        <v>5307792</v>
      </c>
      <c r="Z57" s="45">
        <f t="shared" ref="Z57" si="205">SUM(Z54:Z56)</f>
        <v>34500000</v>
      </c>
      <c r="AA57" s="45">
        <f t="shared" ref="AA57" si="206">SUM(AA54:AA56)</f>
        <v>39807792</v>
      </c>
      <c r="AB57" s="45">
        <f t="shared" ref="AB57" si="207">SUM(AB54:AB56)</f>
        <v>5307792</v>
      </c>
      <c r="AC57" s="45">
        <f t="shared" ref="AC57" si="208">SUM(AC54:AC56)</f>
        <v>34500000</v>
      </c>
      <c r="AD57" s="45">
        <f t="shared" ref="AD57" si="209">SUM(AD54:AD56)</f>
        <v>39807792</v>
      </c>
      <c r="AE57" s="45">
        <f t="shared" ref="AE57" si="210">SUM(AE54:AE56)</f>
        <v>5307792</v>
      </c>
      <c r="AF57" s="45">
        <f t="shared" ref="AF57" si="211">SUM(AF54:AF56)</f>
        <v>34500000</v>
      </c>
      <c r="AG57" s="45">
        <f t="shared" ref="AG57" si="212">SUM(AG54:AG56)</f>
        <v>39807792</v>
      </c>
      <c r="AH57" s="45">
        <f t="shared" ref="AH57" si="213">SUM(AH54:AH56)</f>
        <v>5307792</v>
      </c>
      <c r="AI57" s="45">
        <f t="shared" ref="AI57" si="214">SUM(AI54:AI56)</f>
        <v>34500000</v>
      </c>
      <c r="AJ57" s="45">
        <f t="shared" ref="AJ57" si="215">SUM(AJ54:AJ56)</f>
        <v>39807792</v>
      </c>
      <c r="AK57" s="45">
        <f t="shared" ref="AK57" si="216">SUM(AK54:AK56)</f>
        <v>5307792</v>
      </c>
      <c r="AL57" s="45">
        <f t="shared" ref="AL57" si="217">SUM(AL54:AL56)</f>
        <v>34500000</v>
      </c>
      <c r="AM57" s="45">
        <f t="shared" ref="AM57" si="218">SUM(AM54:AM56)</f>
        <v>39807792</v>
      </c>
      <c r="AN57" s="45">
        <f t="shared" ref="AN57:AU57" si="219">SUM(AN54:AN56)</f>
        <v>124234976.00000001</v>
      </c>
      <c r="AO57" s="45">
        <f t="shared" si="219"/>
        <v>242420000</v>
      </c>
      <c r="AP57" s="45">
        <f t="shared" si="219"/>
        <v>366654976</v>
      </c>
      <c r="AQ57" s="45">
        <f t="shared" si="219"/>
        <v>15825776</v>
      </c>
      <c r="AR57" s="45">
        <f t="shared" si="219"/>
        <v>11500000</v>
      </c>
      <c r="AS57" s="45">
        <f t="shared" si="219"/>
        <v>27325776</v>
      </c>
      <c r="AT57" s="45">
        <f t="shared" si="219"/>
        <v>34804800</v>
      </c>
      <c r="AU57" s="45">
        <f t="shared" si="219"/>
        <v>0</v>
      </c>
      <c r="AV57" s="45"/>
      <c r="AW57" s="45">
        <f>SUM(AW54:AW56)</f>
        <v>34804800</v>
      </c>
      <c r="AX57" s="45">
        <f>SUM(AX54:AX56)</f>
        <v>37154544</v>
      </c>
      <c r="AY57" s="45">
        <f>SUM(AY54:AY56)</f>
        <v>230000000</v>
      </c>
      <c r="AZ57" s="45">
        <f>SUM(AZ54:AZ56)</f>
        <v>267154544</v>
      </c>
      <c r="BA57" s="165">
        <f>SUM(BA54:BA56)</f>
        <v>-37369856.000000015</v>
      </c>
      <c r="BB57" s="26"/>
      <c r="BC57" s="26"/>
      <c r="BD57" s="26"/>
      <c r="BE57" s="26"/>
      <c r="BF57" s="26"/>
      <c r="BG57" s="26"/>
      <c r="BH57" s="26"/>
      <c r="BI57" s="26"/>
    </row>
    <row r="58" spans="2:61" ht="61.9" customHeight="1" x14ac:dyDescent="0.2">
      <c r="B58" s="201" t="s">
        <v>210</v>
      </c>
      <c r="C58" s="260" t="s">
        <v>217</v>
      </c>
      <c r="D58" s="261"/>
      <c r="E58" s="159"/>
      <c r="F58" s="61"/>
      <c r="G58" s="61"/>
      <c r="H58" s="66"/>
      <c r="I58" s="66"/>
      <c r="J58" s="65"/>
      <c r="K58" s="65"/>
      <c r="L58" s="63"/>
      <c r="M58" s="259"/>
      <c r="N58" s="259"/>
      <c r="O58" s="259"/>
      <c r="P58" s="65"/>
      <c r="Q58" s="63"/>
      <c r="R58" s="63"/>
      <c r="S58" s="259"/>
      <c r="T58" s="259"/>
      <c r="U58" s="259"/>
      <c r="V58" s="65"/>
      <c r="W58" s="63"/>
      <c r="X58" s="63"/>
      <c r="Y58" s="259"/>
      <c r="Z58" s="259"/>
      <c r="AA58" s="259"/>
      <c r="AB58" s="63"/>
      <c r="AC58" s="63"/>
      <c r="AD58" s="63"/>
      <c r="AE58" s="259"/>
      <c r="AF58" s="259"/>
      <c r="AG58" s="259"/>
      <c r="AH58" s="63"/>
      <c r="AI58" s="63"/>
      <c r="AJ58" s="63"/>
      <c r="AK58" s="259"/>
      <c r="AL58" s="259"/>
      <c r="AM58" s="259"/>
      <c r="AN58" s="63"/>
      <c r="AO58" s="63"/>
      <c r="AP58" s="63"/>
      <c r="AQ58" s="65"/>
      <c r="AR58" s="63"/>
      <c r="AS58" s="63"/>
      <c r="AT58" s="259"/>
      <c r="AU58" s="259"/>
      <c r="AV58" s="259"/>
      <c r="AW58" s="259"/>
      <c r="AX58" s="65"/>
      <c r="AY58" s="63"/>
      <c r="AZ58" s="63"/>
      <c r="BA58" s="64"/>
    </row>
    <row r="59" spans="2:61" ht="21" customHeight="1" x14ac:dyDescent="0.2">
      <c r="B59" s="208"/>
      <c r="C59" s="209" t="s">
        <v>56</v>
      </c>
      <c r="D59" s="229"/>
      <c r="E59" s="229"/>
      <c r="F59" s="230"/>
      <c r="G59" s="230"/>
      <c r="H59" s="230"/>
      <c r="I59" s="230"/>
      <c r="J59" s="234"/>
      <c r="K59" s="234"/>
      <c r="L59" s="234"/>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4"/>
      <c r="AP59" s="234"/>
      <c r="AQ59" s="234"/>
      <c r="AR59" s="234"/>
      <c r="AS59" s="234"/>
      <c r="AT59" s="234"/>
      <c r="AU59" s="234"/>
      <c r="AV59" s="234"/>
      <c r="AW59" s="234"/>
      <c r="AX59" s="234"/>
      <c r="AY59" s="234"/>
      <c r="AZ59" s="234"/>
      <c r="BA59" s="236"/>
    </row>
    <row r="60" spans="2:61" ht="39.6" customHeight="1" x14ac:dyDescent="0.2">
      <c r="B60" s="36" t="s">
        <v>211</v>
      </c>
      <c r="C60" s="12" t="s">
        <v>218</v>
      </c>
      <c r="D60" s="13"/>
      <c r="E60" s="148" t="s">
        <v>221</v>
      </c>
      <c r="F60" s="148" t="s">
        <v>219</v>
      </c>
      <c r="G60" s="203" t="s">
        <v>220</v>
      </c>
      <c r="H60" s="217">
        <v>44562</v>
      </c>
      <c r="I60" s="216" t="s">
        <v>178</v>
      </c>
      <c r="J60" s="22">
        <f>'[1]Summary for IPSIS'!$H$36+'[1]Summary for IPSIS'!$I$36</f>
        <v>0</v>
      </c>
      <c r="K60" s="22">
        <f>'[1]Summary for IPSIS'!$J$36</f>
        <v>0</v>
      </c>
      <c r="L60" s="29">
        <f>J60+K60</f>
        <v>0</v>
      </c>
      <c r="M60" s="22">
        <f>'[1]Summary for IPSIS'!$T$36+'[1]Summary for IPSIS'!$U$36</f>
        <v>0</v>
      </c>
      <c r="N60" s="22">
        <f>'[1]Summary for IPSIS'!$V$36</f>
        <v>0</v>
      </c>
      <c r="O60" s="29">
        <f>M60+N60</f>
        <v>0</v>
      </c>
      <c r="P60" s="25">
        <f>'[1]Summary for IPSIS'!$AF$36+'[1]Summary for IPSIS'!$AG$36</f>
        <v>22961664</v>
      </c>
      <c r="Q60" s="29">
        <f>'[1]Summary for IPSIS'!$AH$36</f>
        <v>8280000</v>
      </c>
      <c r="R60" s="29">
        <f>P60+Q60</f>
        <v>31241664</v>
      </c>
      <c r="S60" s="25">
        <f>'[1]Summary for IPSIS'!$AR$36+'[1]Summary for IPSIS'!$AS$36</f>
        <v>22961664</v>
      </c>
      <c r="T60" s="29">
        <f>'[1]Summary for IPSIS'!$AT$36</f>
        <v>0</v>
      </c>
      <c r="U60" s="29">
        <f>S60+T60</f>
        <v>22961664</v>
      </c>
      <c r="V60" s="25">
        <f>'[1]Summary for IPSIS'!$BD$36+'[1]Summary for IPSIS'!$BE$36</f>
        <v>22961664</v>
      </c>
      <c r="W60" s="29">
        <f>'[1]Summary for IPSIS'!$BF$36</f>
        <v>460000</v>
      </c>
      <c r="X60" s="29">
        <f>V60+W60</f>
        <v>23421664</v>
      </c>
      <c r="Y60" s="29">
        <f>'[1]Summary for IPSIS'!$BP$36+'[1]Summary for IPSIS'!$BQ$36</f>
        <v>26294064</v>
      </c>
      <c r="Z60" s="29">
        <v>322000</v>
      </c>
      <c r="AA60" s="29">
        <f>SUM(Y60:Z60)</f>
        <v>26616064</v>
      </c>
      <c r="AB60" s="29">
        <f>'[1]Summary for IPSIS'!$CB$36+'[1]Summary for IPSIS'!$CC$36</f>
        <v>25361664</v>
      </c>
      <c r="AC60" s="29">
        <f>'[1]Summary for IPSIS'!$CD$36</f>
        <v>230000</v>
      </c>
      <c r="AD60" s="29">
        <f>SUM(AB60:AC60)</f>
        <v>25591664</v>
      </c>
      <c r="AE60" s="29">
        <f>'[1]Summary for IPSIS'!$CN$36+'[1]Summary for IPSIS'!$CO$36</f>
        <v>25361664</v>
      </c>
      <c r="AF60" s="29">
        <f>'[1]Summary for IPSIS'!$CP$36</f>
        <v>460000</v>
      </c>
      <c r="AG60" s="29">
        <f>SUM(AE60:AF60)</f>
        <v>25821664</v>
      </c>
      <c r="AH60" s="29">
        <f>'[1]Summary for IPSIS'!$CZ$36+'[1]Summary for IPSIS'!$DA$36</f>
        <v>25361664</v>
      </c>
      <c r="AI60" s="29">
        <v>368000</v>
      </c>
      <c r="AJ60" s="29">
        <f>SUM(AH60:AI60)</f>
        <v>25729664</v>
      </c>
      <c r="AK60" s="29">
        <f>'[1]Summary for IPSIS'!$DL$36+'[1]Summary for IPSIS'!$DM$36</f>
        <v>25361664</v>
      </c>
      <c r="AL60" s="29">
        <v>230000</v>
      </c>
      <c r="AM60" s="29">
        <f>SUM(AK60:AL60)</f>
        <v>25591664</v>
      </c>
      <c r="AN60" s="23">
        <f t="shared" ref="AN60:AO65" si="220">J60+M60+P60+S60+V60+Y60+AB60+AE60+AH60+AK60</f>
        <v>196625712</v>
      </c>
      <c r="AO60" s="23">
        <f t="shared" si="220"/>
        <v>10350000</v>
      </c>
      <c r="AP60" s="29">
        <f>SUM(AN60:AO60)</f>
        <v>206975712</v>
      </c>
      <c r="AQ60" s="25">
        <f>25261664</f>
        <v>25261664</v>
      </c>
      <c r="AR60" s="29">
        <f>0</f>
        <v>0</v>
      </c>
      <c r="AS60" s="25">
        <f>AQ60+AR60</f>
        <v>25261664</v>
      </c>
      <c r="AT60" s="30">
        <f>0</f>
        <v>0</v>
      </c>
      <c r="AU60" s="30">
        <f>0</f>
        <v>0</v>
      </c>
      <c r="AV60" s="29"/>
      <c r="AW60" s="29">
        <f>AT60+AU60</f>
        <v>0</v>
      </c>
      <c r="AX60" s="25">
        <f>22961664+25365664+4*25361664-2004000</f>
        <v>147769984</v>
      </c>
      <c r="AY60" s="29">
        <f>460000+322000+230000+460000+368000+230000</f>
        <v>2070000</v>
      </c>
      <c r="AZ60" s="29">
        <f>AX60+AY60</f>
        <v>149839984</v>
      </c>
      <c r="BA60" s="161">
        <f t="shared" ref="BA60:BA65" si="221">SUM(AZ60+AW60+AS60)-AP60</f>
        <v>-31874064</v>
      </c>
    </row>
    <row r="61" spans="2:61" ht="28.9" customHeight="1" x14ac:dyDescent="0.2">
      <c r="B61" s="36" t="s">
        <v>212</v>
      </c>
      <c r="C61" s="12" t="s">
        <v>223</v>
      </c>
      <c r="D61" s="13"/>
      <c r="E61" s="232" t="s">
        <v>192</v>
      </c>
      <c r="F61" s="14" t="s">
        <v>192</v>
      </c>
      <c r="G61" s="9" t="s">
        <v>224</v>
      </c>
      <c r="H61" s="217">
        <v>44203</v>
      </c>
      <c r="I61" s="216" t="s">
        <v>178</v>
      </c>
      <c r="J61" s="22">
        <f>'[1]Summary for IPSIS'!$H$37+'[1]Summary for IPSIS'!$I$37</f>
        <v>2904000</v>
      </c>
      <c r="K61" s="22">
        <f>'[1]Summary for IPSIS'!$J$37</f>
        <v>0</v>
      </c>
      <c r="L61" s="29">
        <f t="shared" ref="L61:L65" si="222">J61+K61</f>
        <v>2904000</v>
      </c>
      <c r="M61" s="22">
        <f>'[1]Summary for IPSIS'!$T$37+'[1]Summary for IPSIS'!$U$37</f>
        <v>0</v>
      </c>
      <c r="N61" s="22">
        <f>'[1]Summary for IPSIS'!$W$37</f>
        <v>6900000</v>
      </c>
      <c r="O61" s="29">
        <f t="shared" ref="O61:O65" si="223">M61+N61</f>
        <v>6900000</v>
      </c>
      <c r="P61" s="25">
        <f>'[1]Summary for IPSIS'!$AF$37+'[1]Summary for IPSIS'!$AG$37</f>
        <v>0</v>
      </c>
      <c r="Q61" s="29">
        <f>'[1]Summary for IPSIS'!$AH$37</f>
        <v>6900000</v>
      </c>
      <c r="R61" s="29">
        <f t="shared" ref="R61:R65" si="224">P61+Q61</f>
        <v>6900000</v>
      </c>
      <c r="S61" s="25">
        <f>'[1]Summary for IPSIS'!$AR$37+'[1]Summary for IPSIS'!$AS$37</f>
        <v>23280096</v>
      </c>
      <c r="T61" s="29">
        <f>'[1]Summary for IPSIS'!$AT$37</f>
        <v>40710000</v>
      </c>
      <c r="U61" s="29">
        <f t="shared" ref="U61:U65" si="225">S61+T61</f>
        <v>63990096</v>
      </c>
      <c r="V61" s="25">
        <f>'[1]Summary for IPSIS'!$BD$37+'[1]Summary for IPSIS'!$BE$37</f>
        <v>23280096</v>
      </c>
      <c r="W61" s="29">
        <f>'[1]Summary for IPSIS'!$BF$37</f>
        <v>40710000</v>
      </c>
      <c r="X61" s="29">
        <f t="shared" ref="X61:X65" si="226">V61+W61</f>
        <v>63990096</v>
      </c>
      <c r="Y61" s="29">
        <f>'[1]Summary for IPSIS'!$BP$37+'[1]Summary for IPSIS'!$BQ$37</f>
        <v>23280096</v>
      </c>
      <c r="Z61" s="29">
        <v>33810000</v>
      </c>
      <c r="AA61" s="29">
        <f t="shared" ref="AA61:AA65" si="227">SUM(Y61:Z61)</f>
        <v>57090096</v>
      </c>
      <c r="AB61" s="29">
        <f>'[1]Summary for IPSIS'!$CB$37+'[1]Summary for IPSIS'!$CC$37</f>
        <v>23280096</v>
      </c>
      <c r="AC61" s="29">
        <f>'[1]Summary for IPSIS'!$CD$37</f>
        <v>33810000</v>
      </c>
      <c r="AD61" s="29">
        <f t="shared" ref="AD61:AD65" si="228">SUM(AB61:AC61)</f>
        <v>57090096</v>
      </c>
      <c r="AE61" s="29">
        <f>'[1]Summary for IPSIS'!$CN$37+'[1]Summary for IPSIS'!$CO$37</f>
        <v>23280096</v>
      </c>
      <c r="AF61" s="29">
        <f>'[1]Summary for IPSIS'!$CP$37</f>
        <v>33810000</v>
      </c>
      <c r="AG61" s="29">
        <f t="shared" ref="AG61:AG65" si="229">SUM(AE61:AF61)</f>
        <v>57090096</v>
      </c>
      <c r="AH61" s="29">
        <f>'[1]Summary for IPSIS'!$CZ$37+'[1]Summary for IPSIS'!$DA$37</f>
        <v>23280096</v>
      </c>
      <c r="AI61" s="29">
        <v>33810000</v>
      </c>
      <c r="AJ61" s="29">
        <f t="shared" ref="AJ61:AJ65" si="230">SUM(AH61:AI61)</f>
        <v>57090096</v>
      </c>
      <c r="AK61" s="29">
        <f>'[1]Summary for IPSIS'!$DL$37+'[1]Summary for IPSIS'!$DM$37</f>
        <v>23280096</v>
      </c>
      <c r="AL61" s="29">
        <v>33810000</v>
      </c>
      <c r="AM61" s="29">
        <f t="shared" ref="AM61:AM65" si="231">SUM(AK61:AL61)</f>
        <v>57090096</v>
      </c>
      <c r="AN61" s="23">
        <f t="shared" si="220"/>
        <v>165864672</v>
      </c>
      <c r="AO61" s="23">
        <f t="shared" si="220"/>
        <v>264270000</v>
      </c>
      <c r="AP61" s="29">
        <f t="shared" ref="AP61:AP65" si="232">SUM(AN61:AO61)</f>
        <v>430134672</v>
      </c>
      <c r="AQ61" s="25">
        <f>0</f>
        <v>0</v>
      </c>
      <c r="AR61" s="29">
        <f>0</f>
        <v>0</v>
      </c>
      <c r="AS61" s="25">
        <f t="shared" ref="AS61:AS65" si="233">AQ61+AR61</f>
        <v>0</v>
      </c>
      <c r="AT61" s="30">
        <f>165864672-720096</f>
        <v>165144576</v>
      </c>
      <c r="AU61" s="30">
        <v>201000000</v>
      </c>
      <c r="AV61" s="29"/>
      <c r="AW61" s="29">
        <f t="shared" ref="AW61:AW65" si="234">AT61+AU61</f>
        <v>366144576</v>
      </c>
      <c r="AX61" s="25">
        <f>0</f>
        <v>0</v>
      </c>
      <c r="AY61" s="29">
        <f>0</f>
        <v>0</v>
      </c>
      <c r="AZ61" s="29">
        <f t="shared" ref="AZ61:AZ65" si="235">AX61+AY61</f>
        <v>0</v>
      </c>
      <c r="BA61" s="161">
        <f t="shared" si="221"/>
        <v>-63990096</v>
      </c>
    </row>
    <row r="62" spans="2:61" ht="40.9" customHeight="1" x14ac:dyDescent="0.2">
      <c r="B62" s="36" t="s">
        <v>213</v>
      </c>
      <c r="C62" s="237" t="s">
        <v>225</v>
      </c>
      <c r="D62" s="13"/>
      <c r="E62" s="146" t="s">
        <v>62</v>
      </c>
      <c r="F62" s="14" t="s">
        <v>57</v>
      </c>
      <c r="G62" s="9" t="s">
        <v>226</v>
      </c>
      <c r="H62" s="217">
        <v>44927</v>
      </c>
      <c r="I62" s="216" t="s">
        <v>178</v>
      </c>
      <c r="J62" s="22">
        <f>'[1]Summary for IPSIS'!$H$38+'[1]Summary for IPSIS'!$I$38</f>
        <v>0</v>
      </c>
      <c r="K62" s="22">
        <f>'[1]Summary for IPSIS'!$J$38</f>
        <v>0</v>
      </c>
      <c r="L62" s="29">
        <f t="shared" si="222"/>
        <v>0</v>
      </c>
      <c r="M62" s="22">
        <f>'[1]Summary for IPSIS'!$T$38+'[1]Summary for IPSIS'!$U$38</f>
        <v>0</v>
      </c>
      <c r="N62" s="22">
        <f>'[1]Summary for IPSIS'!$W$38</f>
        <v>0</v>
      </c>
      <c r="O62" s="29">
        <f t="shared" si="223"/>
        <v>0</v>
      </c>
      <c r="P62" s="25">
        <f>'[1]Summary for IPSIS'!$AF$38+'[1]Summary for IPSIS'!$AG$38</f>
        <v>228000</v>
      </c>
      <c r="Q62" s="29">
        <f>'[1]Summary for IPSIS'!$AH$38</f>
        <v>0</v>
      </c>
      <c r="R62" s="29">
        <f t="shared" si="224"/>
        <v>228000</v>
      </c>
      <c r="S62" s="25">
        <f>'[1]Summary for IPSIS'!$AR$38+'[1]Summary for IPSIS'!$AS$38</f>
        <v>30406656</v>
      </c>
      <c r="T62" s="29">
        <f>'[1]Summary for IPSIS'!$AT$38</f>
        <v>33695000</v>
      </c>
      <c r="U62" s="29">
        <f t="shared" si="225"/>
        <v>64101656</v>
      </c>
      <c r="V62" s="25">
        <f>'[1]Summary for IPSIS'!$BD$38+'[1]Summary for IPSIS'!$BE$38</f>
        <v>30406656</v>
      </c>
      <c r="W62" s="29">
        <f>'[1]Summary for IPSIS'!$BF$38</f>
        <v>14145000</v>
      </c>
      <c r="X62" s="29">
        <f t="shared" si="226"/>
        <v>44551656</v>
      </c>
      <c r="Y62" s="29">
        <f>'[1]Summary for IPSIS'!$BP$38+'[1]Summary for IPSIS'!$BQ$38</f>
        <v>28506240</v>
      </c>
      <c r="Z62" s="29">
        <v>13800000</v>
      </c>
      <c r="AA62" s="29">
        <f t="shared" si="227"/>
        <v>42306240</v>
      </c>
      <c r="AB62" s="29">
        <f>'[1]Summary for IPSIS'!$CB$38+'[1]Summary for IPSIS'!$CC$38</f>
        <v>28506240</v>
      </c>
      <c r="AC62" s="29">
        <f>'[1]Summary for IPSIS'!$CD$38</f>
        <v>13110000</v>
      </c>
      <c r="AD62" s="29">
        <f t="shared" si="228"/>
        <v>41616240</v>
      </c>
      <c r="AE62" s="29">
        <f>'[1]Summary for IPSIS'!$CN$38+'[1]Summary for IPSIS'!$CO$38</f>
        <v>28506240</v>
      </c>
      <c r="AF62" s="29">
        <f>'[1]Summary for IPSIS'!$CP$38</f>
        <v>12650000</v>
      </c>
      <c r="AG62" s="29">
        <f t="shared" si="229"/>
        <v>41156240</v>
      </c>
      <c r="AH62" s="29">
        <f>'[1]Summary for IPSIS'!$CZ$38+'[1]Summary for IPSIS'!$DA$38</f>
        <v>28506240</v>
      </c>
      <c r="AI62" s="29">
        <v>12190000</v>
      </c>
      <c r="AJ62" s="29">
        <f t="shared" si="230"/>
        <v>40696240</v>
      </c>
      <c r="AK62" s="29">
        <f>'[1]Summary for IPSIS'!$DL$38+'[1]Summary for IPSIS'!$DM$38</f>
        <v>28506240</v>
      </c>
      <c r="AL62" s="29">
        <v>12190000</v>
      </c>
      <c r="AM62" s="29">
        <f t="shared" si="231"/>
        <v>40696240</v>
      </c>
      <c r="AN62" s="23">
        <f t="shared" si="220"/>
        <v>203572512</v>
      </c>
      <c r="AO62" s="23">
        <f t="shared" si="220"/>
        <v>111780000</v>
      </c>
      <c r="AP62" s="29">
        <f t="shared" si="232"/>
        <v>315352512</v>
      </c>
      <c r="AQ62" s="25">
        <f>0</f>
        <v>0</v>
      </c>
      <c r="AR62" s="29">
        <f>0</f>
        <v>0</v>
      </c>
      <c r="AS62" s="25">
        <f t="shared" si="233"/>
        <v>0</v>
      </c>
      <c r="AT62" s="30">
        <f>0</f>
        <v>0</v>
      </c>
      <c r="AU62" s="30">
        <f>0</f>
        <v>0</v>
      </c>
      <c r="AV62" s="29"/>
      <c r="AW62" s="29">
        <f t="shared" si="234"/>
        <v>0</v>
      </c>
      <c r="AX62" s="25">
        <f>30406656+5*28506240+2245416</f>
        <v>175183272</v>
      </c>
      <c r="AY62" s="29">
        <f>14145000+13800000+13110000+12650000+2*12190000</f>
        <v>78085000</v>
      </c>
      <c r="AZ62" s="29">
        <f t="shared" si="235"/>
        <v>253268272</v>
      </c>
      <c r="BA62" s="161">
        <f t="shared" si="221"/>
        <v>-62084240</v>
      </c>
    </row>
    <row r="63" spans="2:61" ht="42" customHeight="1" x14ac:dyDescent="0.2">
      <c r="B63" s="36" t="s">
        <v>214</v>
      </c>
      <c r="C63" s="12" t="s">
        <v>227</v>
      </c>
      <c r="D63" s="13"/>
      <c r="E63" s="146" t="s">
        <v>62</v>
      </c>
      <c r="F63" s="14" t="s">
        <v>57</v>
      </c>
      <c r="G63" s="9" t="s">
        <v>228</v>
      </c>
      <c r="H63" s="217">
        <v>44197</v>
      </c>
      <c r="I63" s="216" t="s">
        <v>178</v>
      </c>
      <c r="J63" s="22">
        <f>'[1]Summary for IPSIS'!$H$39+'[1]Summary for IPSIS'!$I$39</f>
        <v>4365220</v>
      </c>
      <c r="K63" s="22">
        <f>'[1]Summary for IPSIS'!$J$39</f>
        <v>0</v>
      </c>
      <c r="L63" s="29">
        <f t="shared" si="222"/>
        <v>4365220</v>
      </c>
      <c r="M63" s="22">
        <f>'[1]Summary for IPSIS'!$T$39+'[1]Summary for IPSIS'!$U$39</f>
        <v>4545220</v>
      </c>
      <c r="N63" s="22">
        <f>'[1]Summary for IPSIS'!$V$39</f>
        <v>0</v>
      </c>
      <c r="O63" s="29">
        <f t="shared" si="223"/>
        <v>4545220</v>
      </c>
      <c r="P63" s="25">
        <f>'[1]Summary for IPSIS'!$AF$39+'[1]Summary for IPSIS'!$AG$39</f>
        <v>4725220</v>
      </c>
      <c r="Q63" s="29">
        <f>'[1]Summary for IPSIS'!$AH$39</f>
        <v>0</v>
      </c>
      <c r="R63" s="29">
        <f t="shared" si="224"/>
        <v>4725220</v>
      </c>
      <c r="S63" s="25">
        <f>'[1]Summary for IPSIS'!$AR$39+'[1]Summary for IPSIS'!$AS$39</f>
        <v>6261220</v>
      </c>
      <c r="T63" s="29">
        <f>'[1]Summary for IPSIS'!$AT$39</f>
        <v>0</v>
      </c>
      <c r="U63" s="29">
        <f t="shared" si="225"/>
        <v>6261220</v>
      </c>
      <c r="V63" s="25">
        <f>'[1]Summary for IPSIS'!$BD$39+'[1]Summary for IPSIS'!$BE$39</f>
        <v>5085220</v>
      </c>
      <c r="W63" s="29">
        <f>'[1]Summary for IPSIS'!$BF$39</f>
        <v>0</v>
      </c>
      <c r="X63" s="29">
        <f t="shared" si="226"/>
        <v>5085220</v>
      </c>
      <c r="Y63" s="29">
        <f>'[1]Summary for IPSIS'!$BP$39+'[1]Summary for IPSIS'!$BQ$39</f>
        <v>6813220</v>
      </c>
      <c r="Z63" s="29">
        <v>0</v>
      </c>
      <c r="AA63" s="29">
        <f t="shared" si="227"/>
        <v>6813220</v>
      </c>
      <c r="AB63" s="29">
        <f>'[1]Summary for IPSIS'!$CB$39+'[1]Summary for IPSIS'!$CC$39</f>
        <v>7125220</v>
      </c>
      <c r="AC63" s="29">
        <f>'[1]Summary for IPSIS'!$CD$39</f>
        <v>0</v>
      </c>
      <c r="AD63" s="29">
        <f t="shared" si="228"/>
        <v>7125220</v>
      </c>
      <c r="AE63" s="29">
        <f>'[1]Summary for IPSIS'!$CN$39+'[1]Summary for IPSIS'!$CO$39</f>
        <v>5805220</v>
      </c>
      <c r="AF63" s="29">
        <f>'[1]Summary for IPSIS'!$CP$39</f>
        <v>0</v>
      </c>
      <c r="AG63" s="29">
        <f t="shared" si="229"/>
        <v>5805220</v>
      </c>
      <c r="AH63" s="29">
        <f>'[1]Summary for IPSIS'!$CZ$39+'[1]Summary for IPSIS'!$DA$39</f>
        <v>5805220</v>
      </c>
      <c r="AI63" s="29">
        <v>0</v>
      </c>
      <c r="AJ63" s="29">
        <f t="shared" si="230"/>
        <v>5805220</v>
      </c>
      <c r="AK63" s="29">
        <f>'[1]Summary for IPSIS'!$DL$39+'[1]Summary for IPSIS'!$DM$39</f>
        <v>7341220</v>
      </c>
      <c r="AL63" s="29">
        <v>0</v>
      </c>
      <c r="AM63" s="29">
        <f t="shared" si="231"/>
        <v>7341220</v>
      </c>
      <c r="AN63" s="23">
        <f t="shared" si="220"/>
        <v>57872200</v>
      </c>
      <c r="AO63" s="23">
        <f t="shared" si="220"/>
        <v>0</v>
      </c>
      <c r="AP63" s="29">
        <f t="shared" si="232"/>
        <v>57872200</v>
      </c>
      <c r="AQ63" s="25">
        <f>4365220+4545220+4725220</f>
        <v>13635660</v>
      </c>
      <c r="AR63" s="29">
        <f>0</f>
        <v>0</v>
      </c>
      <c r="AS63" s="25">
        <f t="shared" si="233"/>
        <v>13635660</v>
      </c>
      <c r="AT63" s="30">
        <v>1368000</v>
      </c>
      <c r="AU63" s="30">
        <f>0</f>
        <v>0</v>
      </c>
      <c r="AV63" s="29"/>
      <c r="AW63" s="29">
        <f t="shared" si="234"/>
        <v>1368000</v>
      </c>
      <c r="AX63" s="25">
        <f>51896200-AS63</f>
        <v>38260540</v>
      </c>
      <c r="AY63" s="29">
        <f>0</f>
        <v>0</v>
      </c>
      <c r="AZ63" s="29">
        <f t="shared" si="235"/>
        <v>38260540</v>
      </c>
      <c r="BA63" s="161">
        <f t="shared" si="221"/>
        <v>-4608000</v>
      </c>
    </row>
    <row r="64" spans="2:61" ht="51.6" customHeight="1" x14ac:dyDescent="0.2">
      <c r="B64" s="36" t="s">
        <v>215</v>
      </c>
      <c r="C64" s="237" t="s">
        <v>229</v>
      </c>
      <c r="D64" s="13"/>
      <c r="E64" s="146" t="s">
        <v>62</v>
      </c>
      <c r="F64" s="14" t="s">
        <v>231</v>
      </c>
      <c r="G64" s="9" t="s">
        <v>230</v>
      </c>
      <c r="H64" s="217">
        <v>44562</v>
      </c>
      <c r="I64" s="216" t="s">
        <v>178</v>
      </c>
      <c r="J64" s="22">
        <f>'[1]Summary for IPSIS'!$H$40+'[1]Summary for IPSIS'!$I$40</f>
        <v>0</v>
      </c>
      <c r="K64" s="22">
        <f>'[1]Summary for IPSIS'!$J$40</f>
        <v>0</v>
      </c>
      <c r="L64" s="29">
        <f t="shared" si="222"/>
        <v>0</v>
      </c>
      <c r="M64" s="22">
        <f>'[1]Summary for IPSIS'!$T$40+'[1]Summary for IPSIS'!$U$40</f>
        <v>64815704</v>
      </c>
      <c r="N64" s="22">
        <f>'[1]Summary for IPSIS'!$V$40</f>
        <v>0</v>
      </c>
      <c r="O64" s="29">
        <f t="shared" si="223"/>
        <v>64815704</v>
      </c>
      <c r="P64" s="25">
        <f>'[1]Summary for IPSIS'!$AF$40+'[1]Summary for IPSIS'!$AG$40</f>
        <v>61828904</v>
      </c>
      <c r="Q64" s="29">
        <f>'[1]Summary for IPSIS'!$AH$40</f>
        <v>0</v>
      </c>
      <c r="R64" s="29">
        <f t="shared" si="224"/>
        <v>61828904</v>
      </c>
      <c r="S64" s="25">
        <f>'[1]Summary for IPSIS'!$AR$40+'[1]Summary for IPSIS'!$AS$40</f>
        <v>61828904</v>
      </c>
      <c r="T64" s="29">
        <f>'[1]Summary for IPSIS'!$AT$40</f>
        <v>0</v>
      </c>
      <c r="U64" s="29">
        <f t="shared" si="225"/>
        <v>61828904</v>
      </c>
      <c r="V64" s="25">
        <f>'[1]Summary for IPSIS'!$BD$40+'[1]Summary for IPSIS'!$BE$40</f>
        <v>61828904</v>
      </c>
      <c r="W64" s="29">
        <f>'[1]Summary for IPSIS'!$BF$40</f>
        <v>0</v>
      </c>
      <c r="X64" s="29">
        <f t="shared" si="226"/>
        <v>61828904</v>
      </c>
      <c r="Y64" s="29">
        <f>'[1]Summary for IPSIS'!$BP$40+'[1]Summary for IPSIS'!$BQ$40</f>
        <v>41056904</v>
      </c>
      <c r="Z64" s="29">
        <v>0</v>
      </c>
      <c r="AA64" s="29">
        <f t="shared" si="227"/>
        <v>41056904</v>
      </c>
      <c r="AB64" s="29">
        <f>'[1]Summary for IPSIS'!$CB$40+'[1]Summary for IPSIS'!$CC$40</f>
        <v>41056904</v>
      </c>
      <c r="AC64" s="29">
        <f>'[1]Summary for IPSIS'!$CD$40</f>
        <v>0</v>
      </c>
      <c r="AD64" s="29">
        <f t="shared" si="228"/>
        <v>41056904</v>
      </c>
      <c r="AE64" s="29">
        <f>'[1]Summary for IPSIS'!$CN$40+'[1]Summary for IPSIS'!$CO$40</f>
        <v>41056904</v>
      </c>
      <c r="AF64" s="29">
        <f>'[1]Summary for IPSIS'!$CP$40</f>
        <v>0</v>
      </c>
      <c r="AG64" s="29">
        <f t="shared" si="229"/>
        <v>41056904</v>
      </c>
      <c r="AH64" s="29">
        <f>'[1]Summary for IPSIS'!$CZ$40+'[1]Summary for IPSIS'!$DA$40</f>
        <v>41056904</v>
      </c>
      <c r="AI64" s="29">
        <v>0</v>
      </c>
      <c r="AJ64" s="29">
        <f t="shared" si="230"/>
        <v>41056904</v>
      </c>
      <c r="AK64" s="29">
        <f>'[1]Summary for IPSIS'!$DL$40+'[1]Summary for IPSIS'!$DM$40</f>
        <v>42424904</v>
      </c>
      <c r="AL64" s="29">
        <v>0</v>
      </c>
      <c r="AM64" s="29">
        <f t="shared" si="231"/>
        <v>42424904</v>
      </c>
      <c r="AN64" s="23">
        <f t="shared" si="220"/>
        <v>456954936</v>
      </c>
      <c r="AO64" s="23">
        <f t="shared" si="220"/>
        <v>0</v>
      </c>
      <c r="AP64" s="29">
        <f t="shared" si="232"/>
        <v>456954936</v>
      </c>
      <c r="AQ64" s="25">
        <f>0</f>
        <v>0</v>
      </c>
      <c r="AR64" s="29">
        <f>0</f>
        <v>0</v>
      </c>
      <c r="AS64" s="25">
        <f t="shared" si="233"/>
        <v>0</v>
      </c>
      <c r="AT64" s="30">
        <f>415898032</f>
        <v>415898032</v>
      </c>
      <c r="AU64" s="30">
        <f>0</f>
        <v>0</v>
      </c>
      <c r="AV64" s="29"/>
      <c r="AW64" s="29">
        <f t="shared" si="234"/>
        <v>415898032</v>
      </c>
      <c r="AX64" s="25">
        <f>0</f>
        <v>0</v>
      </c>
      <c r="AY64" s="29">
        <f>0</f>
        <v>0</v>
      </c>
      <c r="AZ64" s="29">
        <f t="shared" si="235"/>
        <v>0</v>
      </c>
      <c r="BA64" s="161">
        <f t="shared" si="221"/>
        <v>-41056904</v>
      </c>
    </row>
    <row r="65" spans="2:61" ht="42" customHeight="1" thickBot="1" x14ac:dyDescent="0.25">
      <c r="B65" s="36" t="s">
        <v>216</v>
      </c>
      <c r="C65" s="12" t="s">
        <v>232</v>
      </c>
      <c r="D65" s="13"/>
      <c r="E65" s="148" t="s">
        <v>222</v>
      </c>
      <c r="F65" s="14" t="s">
        <v>233</v>
      </c>
      <c r="G65" s="9" t="s">
        <v>234</v>
      </c>
      <c r="H65" s="217">
        <v>44562</v>
      </c>
      <c r="I65" s="216" t="s">
        <v>120</v>
      </c>
      <c r="J65" s="22">
        <f>'[1]Summary for IPSIS'!$H$41+'[1]Summary for IPSIS'!$I$41</f>
        <v>912000</v>
      </c>
      <c r="K65" s="22">
        <f>'[1]Summary for IPSIS'!$J$41</f>
        <v>0</v>
      </c>
      <c r="L65" s="29">
        <f t="shared" si="222"/>
        <v>912000</v>
      </c>
      <c r="M65" s="22">
        <f>'[1]Summary for IPSIS'!$T$41+'[1]Summary for IPSIS'!$U$41</f>
        <v>3434400</v>
      </c>
      <c r="N65" s="22">
        <f>'[1]Summary for IPSIS'!$V$41</f>
        <v>0</v>
      </c>
      <c r="O65" s="29">
        <f t="shared" si="223"/>
        <v>3434400</v>
      </c>
      <c r="P65" s="25">
        <f>'[1]Summary for IPSIS'!$AF$41+'[1]Summary for IPSIS'!$AG$41</f>
        <v>1731520</v>
      </c>
      <c r="Q65" s="29">
        <f>'[1]Summary for IPSIS'!$AH$41</f>
        <v>0</v>
      </c>
      <c r="R65" s="29">
        <f t="shared" si="224"/>
        <v>1731520</v>
      </c>
      <c r="S65" s="25">
        <f>'[1]Summary for IPSIS'!$AR$41+'[1]Summary for IPSIS'!$AS$41</f>
        <v>0</v>
      </c>
      <c r="T65" s="29">
        <f>'[1]Summary for IPSIS'!$AT$41</f>
        <v>0</v>
      </c>
      <c r="U65" s="29">
        <f t="shared" si="225"/>
        <v>0</v>
      </c>
      <c r="V65" s="25">
        <f>'[1]Summary for IPSIS'!$BD$41+'[1]Summary for IPSIS'!$BE$41</f>
        <v>0</v>
      </c>
      <c r="W65" s="29">
        <f>'[1]Summary for IPSIS'!$BF$41</f>
        <v>0</v>
      </c>
      <c r="X65" s="29">
        <f t="shared" si="226"/>
        <v>0</v>
      </c>
      <c r="Y65" s="29">
        <f>'[1]Summary for IPSIS'!$BP$41+'[1]Summary for IPSIS'!$BQ$41</f>
        <v>0</v>
      </c>
      <c r="Z65" s="29">
        <v>0</v>
      </c>
      <c r="AA65" s="29">
        <f t="shared" si="227"/>
        <v>0</v>
      </c>
      <c r="AB65" s="29">
        <f>'[1]Summary for IPSIS'!$CB$41+'[1]Summary for IPSIS'!$CC$41</f>
        <v>0</v>
      </c>
      <c r="AC65" s="29">
        <f>'[1]Summary for IPSIS'!$CD$41</f>
        <v>0</v>
      </c>
      <c r="AD65" s="29">
        <f t="shared" si="228"/>
        <v>0</v>
      </c>
      <c r="AE65" s="29">
        <f>'[1]Summary for IPSIS'!$CN$41+'[1]Summary for IPSIS'!$CO$41</f>
        <v>0</v>
      </c>
      <c r="AF65" s="29">
        <f>'[1]Summary for IPSIS'!$CP$41</f>
        <v>0</v>
      </c>
      <c r="AG65" s="29">
        <f t="shared" si="229"/>
        <v>0</v>
      </c>
      <c r="AH65" s="29">
        <f>'[1]Summary for IPSIS'!$CZ$41+'[1]Summary for IPSIS'!$DA$41</f>
        <v>0</v>
      </c>
      <c r="AI65" s="29">
        <v>0</v>
      </c>
      <c r="AJ65" s="29">
        <f t="shared" si="230"/>
        <v>0</v>
      </c>
      <c r="AK65" s="29">
        <f>'[1]Summary for IPSIS'!$DL$41+'[1]Summary for IPSIS'!$DM$41</f>
        <v>0</v>
      </c>
      <c r="AL65" s="29">
        <v>0</v>
      </c>
      <c r="AM65" s="29">
        <f t="shared" si="231"/>
        <v>0</v>
      </c>
      <c r="AN65" s="23">
        <f t="shared" si="220"/>
        <v>6077920</v>
      </c>
      <c r="AO65" s="23">
        <f t="shared" si="220"/>
        <v>0</v>
      </c>
      <c r="AP65" s="29">
        <f t="shared" si="232"/>
        <v>6077920</v>
      </c>
      <c r="AQ65" s="25">
        <f>0</f>
        <v>0</v>
      </c>
      <c r="AR65" s="29">
        <f>0</f>
        <v>0</v>
      </c>
      <c r="AS65" s="25">
        <f t="shared" si="233"/>
        <v>0</v>
      </c>
      <c r="AT65" s="30">
        <f>5942400</f>
        <v>5942400</v>
      </c>
      <c r="AU65" s="30">
        <f>0</f>
        <v>0</v>
      </c>
      <c r="AV65" s="29"/>
      <c r="AW65" s="29">
        <f t="shared" si="234"/>
        <v>5942400</v>
      </c>
      <c r="AX65" s="25">
        <v>135520</v>
      </c>
      <c r="AY65" s="29">
        <f>0</f>
        <v>0</v>
      </c>
      <c r="AZ65" s="29">
        <f t="shared" si="235"/>
        <v>135520</v>
      </c>
      <c r="BA65" s="161">
        <f t="shared" si="221"/>
        <v>0</v>
      </c>
    </row>
    <row r="66" spans="2:61" s="6" customFormat="1" ht="21.6" customHeight="1" thickBot="1" x14ac:dyDescent="0.25">
      <c r="B66" s="46"/>
      <c r="C66" s="52" t="s">
        <v>8</v>
      </c>
      <c r="D66" s="53"/>
      <c r="E66" s="53"/>
      <c r="F66" s="44"/>
      <c r="G66" s="44"/>
      <c r="H66" s="44"/>
      <c r="I66" s="44"/>
      <c r="J66" s="45">
        <f t="shared" ref="J66:X66" si="236">SUM(J60:J65)</f>
        <v>8181220</v>
      </c>
      <c r="K66" s="45">
        <f t="shared" si="236"/>
        <v>0</v>
      </c>
      <c r="L66" s="45">
        <f t="shared" si="236"/>
        <v>8181220</v>
      </c>
      <c r="M66" s="45">
        <f t="shared" si="236"/>
        <v>72795324</v>
      </c>
      <c r="N66" s="45">
        <f t="shared" si="236"/>
        <v>6900000</v>
      </c>
      <c r="O66" s="45">
        <f t="shared" si="236"/>
        <v>79695324</v>
      </c>
      <c r="P66" s="45">
        <f t="shared" si="236"/>
        <v>91475308</v>
      </c>
      <c r="Q66" s="45">
        <f t="shared" si="236"/>
        <v>15180000</v>
      </c>
      <c r="R66" s="45">
        <f t="shared" si="236"/>
        <v>106655308</v>
      </c>
      <c r="S66" s="45">
        <f t="shared" si="236"/>
        <v>144738540</v>
      </c>
      <c r="T66" s="45">
        <f t="shared" si="236"/>
        <v>74405000</v>
      </c>
      <c r="U66" s="45">
        <f t="shared" si="236"/>
        <v>219143540</v>
      </c>
      <c r="V66" s="45">
        <f t="shared" si="236"/>
        <v>143562540</v>
      </c>
      <c r="W66" s="45">
        <f t="shared" si="236"/>
        <v>55315000</v>
      </c>
      <c r="X66" s="45">
        <f t="shared" si="236"/>
        <v>198877540</v>
      </c>
      <c r="Y66" s="45">
        <f t="shared" ref="Y66" si="237">SUM(Y60:Y65)</f>
        <v>125950524</v>
      </c>
      <c r="Z66" s="45">
        <f t="shared" ref="Z66" si="238">SUM(Z60:Z65)</f>
        <v>47932000</v>
      </c>
      <c r="AA66" s="45">
        <f t="shared" ref="AA66" si="239">SUM(AA60:AA65)</f>
        <v>173882524</v>
      </c>
      <c r="AB66" s="45">
        <f t="shared" ref="AB66" si="240">SUM(AB60:AB65)</f>
        <v>125330124</v>
      </c>
      <c r="AC66" s="45">
        <f t="shared" ref="AC66" si="241">SUM(AC60:AC65)</f>
        <v>47150000</v>
      </c>
      <c r="AD66" s="45">
        <f t="shared" ref="AD66" si="242">SUM(AD60:AD65)</f>
        <v>172480124</v>
      </c>
      <c r="AE66" s="45">
        <f t="shared" ref="AE66" si="243">SUM(AE60:AE65)</f>
        <v>124010124</v>
      </c>
      <c r="AF66" s="45">
        <f t="shared" ref="AF66" si="244">SUM(AF60:AF65)</f>
        <v>46920000</v>
      </c>
      <c r="AG66" s="45">
        <f t="shared" ref="AG66" si="245">SUM(AG60:AG65)</f>
        <v>170930124</v>
      </c>
      <c r="AH66" s="45">
        <f t="shared" ref="AH66" si="246">SUM(AH60:AH65)</f>
        <v>124010124</v>
      </c>
      <c r="AI66" s="45">
        <f t="shared" ref="AI66" si="247">SUM(AI60:AI65)</f>
        <v>46368000</v>
      </c>
      <c r="AJ66" s="45">
        <f t="shared" ref="AJ66" si="248">SUM(AJ60:AJ65)</f>
        <v>170378124</v>
      </c>
      <c r="AK66" s="45">
        <f t="shared" ref="AK66" si="249">SUM(AK60:AK65)</f>
        <v>126914124</v>
      </c>
      <c r="AL66" s="45">
        <f t="shared" ref="AL66" si="250">SUM(AL60:AL65)</f>
        <v>46230000</v>
      </c>
      <c r="AM66" s="45">
        <f t="shared" ref="AM66" si="251">SUM(AM60:AM65)</f>
        <v>173144124</v>
      </c>
      <c r="AN66" s="45">
        <f t="shared" ref="AN66:AU66" si="252">SUM(AN60:AN65)</f>
        <v>1086967952</v>
      </c>
      <c r="AO66" s="45">
        <f t="shared" si="252"/>
        <v>386400000</v>
      </c>
      <c r="AP66" s="45">
        <f t="shared" si="252"/>
        <v>1473367952</v>
      </c>
      <c r="AQ66" s="45">
        <f t="shared" si="252"/>
        <v>38897324</v>
      </c>
      <c r="AR66" s="45">
        <f t="shared" si="252"/>
        <v>0</v>
      </c>
      <c r="AS66" s="45">
        <f t="shared" si="252"/>
        <v>38897324</v>
      </c>
      <c r="AT66" s="45">
        <f t="shared" si="252"/>
        <v>588353008</v>
      </c>
      <c r="AU66" s="45">
        <f t="shared" si="252"/>
        <v>201000000</v>
      </c>
      <c r="AV66" s="45"/>
      <c r="AW66" s="45">
        <f>SUM(AW60:AW65)</f>
        <v>789353008</v>
      </c>
      <c r="AX66" s="45">
        <f>SUM(AX60:AX65)</f>
        <v>361349316</v>
      </c>
      <c r="AY66" s="45">
        <f>SUM(AY60:AY65)</f>
        <v>80155000</v>
      </c>
      <c r="AZ66" s="45">
        <f>SUM(AZ60:AZ65)</f>
        <v>441504316</v>
      </c>
      <c r="BA66" s="165">
        <f>SUM(BA60:BA65)</f>
        <v>-203613304</v>
      </c>
      <c r="BB66" s="26"/>
      <c r="BC66" s="125"/>
      <c r="BD66" s="26"/>
      <c r="BE66" s="26"/>
      <c r="BF66" s="26"/>
      <c r="BG66" s="26"/>
      <c r="BH66" s="26"/>
      <c r="BI66" s="26"/>
    </row>
    <row r="67" spans="2:61" ht="58.9" customHeight="1" x14ac:dyDescent="0.2">
      <c r="B67" s="201" t="s">
        <v>235</v>
      </c>
      <c r="C67" s="260" t="s">
        <v>237</v>
      </c>
      <c r="D67" s="261"/>
      <c r="E67" s="159"/>
      <c r="F67" s="61"/>
      <c r="G67" s="61"/>
      <c r="H67" s="66"/>
      <c r="I67" s="66"/>
      <c r="J67" s="259"/>
      <c r="K67" s="259"/>
      <c r="L67" s="259"/>
      <c r="M67" s="65"/>
      <c r="N67" s="65"/>
      <c r="O67" s="63"/>
      <c r="P67" s="259"/>
      <c r="Q67" s="259"/>
      <c r="R67" s="259"/>
      <c r="S67" s="65"/>
      <c r="T67" s="63"/>
      <c r="U67" s="63"/>
      <c r="V67" s="259"/>
      <c r="W67" s="259"/>
      <c r="X67" s="259"/>
      <c r="Y67" s="63"/>
      <c r="Z67" s="63"/>
      <c r="AA67" s="63"/>
      <c r="AB67" s="259"/>
      <c r="AC67" s="259"/>
      <c r="AD67" s="259"/>
      <c r="AE67" s="63"/>
      <c r="AF67" s="63"/>
      <c r="AG67" s="63"/>
      <c r="AH67" s="259"/>
      <c r="AI67" s="259"/>
      <c r="AJ67" s="259"/>
      <c r="AK67" s="63"/>
      <c r="AL67" s="63"/>
      <c r="AM67" s="63"/>
      <c r="AN67" s="259"/>
      <c r="AO67" s="259"/>
      <c r="AP67" s="259"/>
      <c r="AQ67" s="65"/>
      <c r="AR67" s="63"/>
      <c r="AS67" s="63"/>
      <c r="AT67" s="259"/>
      <c r="AU67" s="259"/>
      <c r="AV67" s="259"/>
      <c r="AW67" s="259"/>
      <c r="AX67" s="65"/>
      <c r="AY67" s="63"/>
      <c r="AZ67" s="63"/>
      <c r="BA67" s="64"/>
    </row>
    <row r="68" spans="2:61" ht="21" customHeight="1" x14ac:dyDescent="0.2">
      <c r="B68" s="208"/>
      <c r="C68" s="209" t="s">
        <v>56</v>
      </c>
      <c r="D68" s="229"/>
      <c r="E68" s="229"/>
      <c r="F68" s="230"/>
      <c r="G68" s="230"/>
      <c r="H68" s="230"/>
      <c r="I68" s="230"/>
      <c r="J68" s="234"/>
      <c r="K68" s="234"/>
      <c r="L68" s="234"/>
      <c r="M68" s="234"/>
      <c r="N68" s="234"/>
      <c r="O68" s="234"/>
      <c r="P68" s="234"/>
      <c r="Q68" s="234"/>
      <c r="R68" s="234"/>
      <c r="S68" s="234"/>
      <c r="T68" s="234"/>
      <c r="U68" s="234"/>
      <c r="V68" s="234"/>
      <c r="W68" s="234"/>
      <c r="X68" s="234"/>
      <c r="Y68" s="234"/>
      <c r="Z68" s="234"/>
      <c r="AA68" s="234"/>
      <c r="AB68" s="234"/>
      <c r="AC68" s="234"/>
      <c r="AD68" s="234"/>
      <c r="AE68" s="234"/>
      <c r="AF68" s="234"/>
      <c r="AG68" s="234"/>
      <c r="AH68" s="234"/>
      <c r="AI68" s="234"/>
      <c r="AJ68" s="234"/>
      <c r="AK68" s="234"/>
      <c r="AL68" s="234"/>
      <c r="AM68" s="234"/>
      <c r="AN68" s="234"/>
      <c r="AO68" s="234"/>
      <c r="AP68" s="234"/>
      <c r="AQ68" s="234"/>
      <c r="AR68" s="234"/>
      <c r="AS68" s="234"/>
      <c r="AT68" s="234"/>
      <c r="AU68" s="234"/>
      <c r="AV68" s="234"/>
      <c r="AW68" s="234"/>
      <c r="AX68" s="234"/>
      <c r="AY68" s="234"/>
      <c r="AZ68" s="234"/>
      <c r="BA68" s="236"/>
    </row>
    <row r="69" spans="2:61" ht="46.9" customHeight="1" thickBot="1" x14ac:dyDescent="0.25">
      <c r="B69" s="36" t="s">
        <v>236</v>
      </c>
      <c r="C69" s="145" t="s">
        <v>238</v>
      </c>
      <c r="D69" s="34"/>
      <c r="E69" s="146" t="s">
        <v>75</v>
      </c>
      <c r="F69" s="14" t="s">
        <v>59</v>
      </c>
      <c r="G69" s="9" t="s">
        <v>239</v>
      </c>
      <c r="H69" s="217">
        <v>44197</v>
      </c>
      <c r="I69" s="216" t="s">
        <v>129</v>
      </c>
      <c r="J69" s="30">
        <f>'[1]Summary for IPSIS'!$H$43+'[1]Summary for IPSIS'!$I$43</f>
        <v>0</v>
      </c>
      <c r="K69" s="27">
        <f>'[1]Summary for IPSIS'!$J$43</f>
        <v>0</v>
      </c>
      <c r="L69" s="27">
        <f>SUM(J69:K69)</f>
        <v>0</v>
      </c>
      <c r="M69" s="30">
        <f>'[1]Summary for IPSIS'!$T$43+'[1]Summary for IPSIS'!$U$43</f>
        <v>6990584</v>
      </c>
      <c r="N69" s="27">
        <f>'[1]Summary for IPSIS'!$V$43</f>
        <v>0</v>
      </c>
      <c r="O69" s="27">
        <f>SUM(M69:N69)</f>
        <v>6990584</v>
      </c>
      <c r="P69" s="30">
        <f>'[1]Summary for IPSIS'!$AF$43+'[1]Summary for IPSIS'!$AG$43</f>
        <v>21881616.800000001</v>
      </c>
      <c r="Q69" s="27">
        <f>'[1]Summary for IPSIS'!$AH$43</f>
        <v>0</v>
      </c>
      <c r="R69" s="27">
        <f>SUM(P69:Q69)</f>
        <v>21881616.800000001</v>
      </c>
      <c r="S69" s="30">
        <f>'[1]Summary for IPSIS'!$AR$43+'[1]Summary for IPSIS'!$AS$43</f>
        <v>6762584</v>
      </c>
      <c r="T69" s="27">
        <f>'[1]Summary for IPSIS'!$AT$43</f>
        <v>0</v>
      </c>
      <c r="U69" s="27">
        <f>SUM(S69:T69)</f>
        <v>6762584</v>
      </c>
      <c r="V69" s="30">
        <f>'[1]Summary for IPSIS'!$BD$43+'[1]Summary for IPSIS'!$BE$43</f>
        <v>6762584</v>
      </c>
      <c r="W69" s="27">
        <f>'[1]Summary for IPSIS'!$BP$43+'[1]Summary for IPSIS'!$BQ$43</f>
        <v>0</v>
      </c>
      <c r="X69" s="27">
        <f>SUM(V69:W69)</f>
        <v>6762584</v>
      </c>
      <c r="Y69" s="27">
        <f>'[1]Summary for IPSIS'!$BP$43+'[1]Summary for IPSIS'!$BQ$43</f>
        <v>0</v>
      </c>
      <c r="Z69" s="27">
        <f>'[1]Summary for IPSIS'!$BR$43</f>
        <v>0</v>
      </c>
      <c r="AA69" s="27">
        <f>SUM(Y69:Z69)</f>
        <v>0</v>
      </c>
      <c r="AB69" s="27">
        <f>'[1]Summary for IPSIS'!$CB$43+'[1]Summary for IPSIS'!$CC$43</f>
        <v>0</v>
      </c>
      <c r="AC69" s="27">
        <f>'[1]Summary for IPSIS'!$CD$43</f>
        <v>0</v>
      </c>
      <c r="AD69" s="27">
        <f>SUM(AB69:AC69)</f>
        <v>0</v>
      </c>
      <c r="AE69" s="27">
        <f>'[1]Summary for IPSIS'!$CN$43+'[1]Summary for IPSIS'!$CO$43</f>
        <v>0</v>
      </c>
      <c r="AF69" s="27">
        <f>'[1]Summary for IPSIS'!$CP$43</f>
        <v>0</v>
      </c>
      <c r="AG69" s="27">
        <f>SUM(AE69:AF69)</f>
        <v>0</v>
      </c>
      <c r="AH69" s="27">
        <f>'[1]Summary for IPSIS'!$CZ$43+'[1]Summary for IPSIS'!$DA$43</f>
        <v>0</v>
      </c>
      <c r="AI69" s="27">
        <f>'[1]Summary for IPSIS'!$DB$43</f>
        <v>0</v>
      </c>
      <c r="AJ69" s="27">
        <f>SUM(AH69:AI69)</f>
        <v>0</v>
      </c>
      <c r="AK69" s="27">
        <f>'[1]Summary for IPSIS'!$DL$43+'[1]Summary for IPSIS'!$DM$43</f>
        <v>0</v>
      </c>
      <c r="AL69" s="27">
        <f>'[1]Summary for IPSIS'!$DN$43</f>
        <v>0</v>
      </c>
      <c r="AM69" s="27">
        <f>SUM(AK69:AL69)</f>
        <v>0</v>
      </c>
      <c r="AN69" s="23">
        <f t="shared" ref="AN69:AO69" si="253">J69+M69+P69+S69+V69+Y69+AB69+AE69+AH69+AK69</f>
        <v>42397368.799999997</v>
      </c>
      <c r="AO69" s="23">
        <f t="shared" si="253"/>
        <v>0</v>
      </c>
      <c r="AP69" s="27">
        <f>SUM(AN69:AO69)</f>
        <v>42397368.799999997</v>
      </c>
      <c r="AQ69" s="25">
        <f>2*79184</f>
        <v>158368</v>
      </c>
      <c r="AR69" s="29">
        <f>0</f>
        <v>0</v>
      </c>
      <c r="AS69" s="29">
        <f>SUM(AQ69:AR69)</f>
        <v>158368</v>
      </c>
      <c r="AT69" s="30">
        <f>0</f>
        <v>0</v>
      </c>
      <c r="AU69" s="29">
        <f>0</f>
        <v>0</v>
      </c>
      <c r="AV69" s="29"/>
      <c r="AW69" s="29">
        <f>SUM(AT69:AU69)</f>
        <v>0</v>
      </c>
      <c r="AX69" s="25">
        <f>2*79184</f>
        <v>158368</v>
      </c>
      <c r="AY69" s="29">
        <f>0</f>
        <v>0</v>
      </c>
      <c r="AZ69" s="29">
        <f>SUM(AX69:AY69)</f>
        <v>158368</v>
      </c>
      <c r="BA69" s="161">
        <f t="shared" ref="BA69:BA79" si="254">SUM(AZ69+AW69+AS69)-AP69</f>
        <v>-42080632.799999997</v>
      </c>
    </row>
    <row r="70" spans="2:61" s="6" customFormat="1" ht="21.6" customHeight="1" thickBot="1" x14ac:dyDescent="0.25">
      <c r="B70" s="46"/>
      <c r="C70" s="52" t="s">
        <v>9</v>
      </c>
      <c r="D70" s="53"/>
      <c r="E70" s="53"/>
      <c r="F70" s="44"/>
      <c r="G70" s="44"/>
      <c r="H70" s="44"/>
      <c r="I70" s="44"/>
      <c r="J70" s="45">
        <f>SUM(J69)</f>
        <v>0</v>
      </c>
      <c r="K70" s="45">
        <f t="shared" ref="K70:S70" si="255">SUM(K69)</f>
        <v>0</v>
      </c>
      <c r="L70" s="45">
        <f t="shared" si="255"/>
        <v>0</v>
      </c>
      <c r="M70" s="45">
        <f t="shared" si="255"/>
        <v>6990584</v>
      </c>
      <c r="N70" s="45">
        <f t="shared" si="255"/>
        <v>0</v>
      </c>
      <c r="O70" s="45">
        <f t="shared" si="255"/>
        <v>6990584</v>
      </c>
      <c r="P70" s="45">
        <f t="shared" si="255"/>
        <v>21881616.800000001</v>
      </c>
      <c r="Q70" s="45">
        <f t="shared" si="255"/>
        <v>0</v>
      </c>
      <c r="R70" s="45">
        <f t="shared" si="255"/>
        <v>21881616.800000001</v>
      </c>
      <c r="S70" s="45">
        <f t="shared" si="255"/>
        <v>6762584</v>
      </c>
      <c r="T70" s="45">
        <f t="shared" ref="T70" si="256">SUM(T69)</f>
        <v>0</v>
      </c>
      <c r="U70" s="45">
        <f t="shared" ref="U70" si="257">SUM(U69)</f>
        <v>6762584</v>
      </c>
      <c r="V70" s="45">
        <f t="shared" ref="V70" si="258">SUM(V69)</f>
        <v>6762584</v>
      </c>
      <c r="W70" s="45">
        <f t="shared" ref="W70" si="259">SUM(W69)</f>
        <v>0</v>
      </c>
      <c r="X70" s="45">
        <f t="shared" ref="X70" si="260">SUM(X69)</f>
        <v>6762584</v>
      </c>
      <c r="Y70" s="45">
        <f t="shared" ref="Y70" si="261">SUM(Y69)</f>
        <v>0</v>
      </c>
      <c r="Z70" s="45">
        <f t="shared" ref="Z70" si="262">SUM(Z69)</f>
        <v>0</v>
      </c>
      <c r="AA70" s="45">
        <f t="shared" ref="AA70" si="263">SUM(AA69)</f>
        <v>0</v>
      </c>
      <c r="AB70" s="45">
        <f t="shared" ref="AB70" si="264">SUM(AB69)</f>
        <v>0</v>
      </c>
      <c r="AC70" s="45">
        <f t="shared" ref="AC70" si="265">SUM(AC69)</f>
        <v>0</v>
      </c>
      <c r="AD70" s="45">
        <f t="shared" ref="AD70" si="266">SUM(AD69)</f>
        <v>0</v>
      </c>
      <c r="AE70" s="45">
        <f t="shared" ref="AE70" si="267">SUM(AE69)</f>
        <v>0</v>
      </c>
      <c r="AF70" s="45">
        <f t="shared" ref="AF70" si="268">SUM(AF69)</f>
        <v>0</v>
      </c>
      <c r="AG70" s="45">
        <f t="shared" ref="AG70" si="269">SUM(AG69)</f>
        <v>0</v>
      </c>
      <c r="AH70" s="45">
        <f t="shared" ref="AH70" si="270">SUM(AH69)</f>
        <v>0</v>
      </c>
      <c r="AI70" s="45">
        <f t="shared" ref="AI70" si="271">SUM(AI69)</f>
        <v>0</v>
      </c>
      <c r="AJ70" s="45">
        <f t="shared" ref="AJ70" si="272">SUM(AJ69)</f>
        <v>0</v>
      </c>
      <c r="AK70" s="45">
        <f t="shared" ref="AK70" si="273">SUM(AK69)</f>
        <v>0</v>
      </c>
      <c r="AL70" s="45">
        <f t="shared" ref="AL70" si="274">SUM(AL69)</f>
        <v>0</v>
      </c>
      <c r="AM70" s="45">
        <f t="shared" ref="AM70" si="275">SUM(AM69)</f>
        <v>0</v>
      </c>
      <c r="AN70" s="45">
        <f t="shared" ref="AN70" si="276">SUM(AN69)</f>
        <v>42397368.799999997</v>
      </c>
      <c r="AO70" s="45">
        <f t="shared" ref="AO70" si="277">SUM(AO69)</f>
        <v>0</v>
      </c>
      <c r="AP70" s="45">
        <f t="shared" ref="AP70" si="278">SUM(AP69)</f>
        <v>42397368.799999997</v>
      </c>
      <c r="AQ70" s="45">
        <f t="shared" ref="AQ70" si="279">SUM(AQ69)</f>
        <v>158368</v>
      </c>
      <c r="AR70" s="45">
        <f t="shared" ref="AR70" si="280">SUM(AR69)</f>
        <v>0</v>
      </c>
      <c r="AS70" s="45">
        <f t="shared" ref="AS70" si="281">SUM(AS69)</f>
        <v>158368</v>
      </c>
      <c r="AT70" s="45">
        <f t="shared" ref="AT70" si="282">SUM(AT69)</f>
        <v>0</v>
      </c>
      <c r="AU70" s="45">
        <f t="shared" ref="AU70" si="283">SUM(AU69)</f>
        <v>0</v>
      </c>
      <c r="AV70" s="45"/>
      <c r="AW70" s="45">
        <f t="shared" ref="AW70" si="284">SUM(AW69)</f>
        <v>0</v>
      </c>
      <c r="AX70" s="45">
        <f t="shared" ref="AX70" si="285">SUM(AX69)</f>
        <v>158368</v>
      </c>
      <c r="AY70" s="45">
        <f t="shared" ref="AY70" si="286">SUM(AY69)</f>
        <v>0</v>
      </c>
      <c r="AZ70" s="45">
        <f t="shared" ref="AZ70" si="287">SUM(AZ69)</f>
        <v>158368</v>
      </c>
      <c r="BA70" s="45">
        <f t="shared" ref="BA70" si="288">SUM(BA69)</f>
        <v>-42080632.799999997</v>
      </c>
      <c r="BB70" s="26"/>
      <c r="BC70" s="125"/>
      <c r="BD70" s="26"/>
      <c r="BE70" s="26"/>
      <c r="BF70" s="26"/>
      <c r="BG70" s="26"/>
      <c r="BH70" s="26"/>
      <c r="BI70" s="26"/>
    </row>
    <row r="71" spans="2:61" ht="58.9" customHeight="1" x14ac:dyDescent="0.2">
      <c r="B71" s="201" t="s">
        <v>240</v>
      </c>
      <c r="C71" s="260" t="s">
        <v>237</v>
      </c>
      <c r="D71" s="261"/>
      <c r="E71" s="204"/>
      <c r="F71" s="61"/>
      <c r="G71" s="61"/>
      <c r="H71" s="66"/>
      <c r="I71" s="66"/>
      <c r="J71" s="65"/>
      <c r="K71" s="65"/>
      <c r="L71" s="63"/>
      <c r="M71" s="65"/>
      <c r="N71" s="65"/>
      <c r="O71" s="63"/>
      <c r="P71" s="65"/>
      <c r="Q71" s="63"/>
      <c r="R71" s="63"/>
      <c r="S71" s="65"/>
      <c r="T71" s="63"/>
      <c r="U71" s="63"/>
      <c r="V71" s="65"/>
      <c r="W71" s="63"/>
      <c r="X71" s="63"/>
      <c r="Y71" s="63"/>
      <c r="Z71" s="63"/>
      <c r="AA71" s="63"/>
      <c r="AB71" s="63"/>
      <c r="AC71" s="63"/>
      <c r="AD71" s="63"/>
      <c r="AE71" s="63"/>
      <c r="AF71" s="63"/>
      <c r="AG71" s="63"/>
      <c r="AH71" s="63"/>
      <c r="AI71" s="63"/>
      <c r="AJ71" s="63"/>
      <c r="AK71" s="63"/>
      <c r="AL71" s="63"/>
      <c r="AM71" s="63"/>
      <c r="AN71" s="63"/>
      <c r="AO71" s="63"/>
      <c r="AP71" s="63"/>
      <c r="AQ71" s="65"/>
      <c r="AR71" s="63"/>
      <c r="AS71" s="63"/>
      <c r="AT71" s="65"/>
      <c r="AU71" s="63"/>
      <c r="AV71" s="63"/>
      <c r="AW71" s="63"/>
      <c r="AX71" s="65"/>
      <c r="AY71" s="63"/>
      <c r="AZ71" s="63"/>
      <c r="BA71" s="64"/>
    </row>
    <row r="72" spans="2:61" ht="21" customHeight="1" x14ac:dyDescent="0.2">
      <c r="B72" s="208"/>
      <c r="C72" s="209" t="s">
        <v>56</v>
      </c>
      <c r="D72" s="229"/>
      <c r="E72" s="229"/>
      <c r="F72" s="230"/>
      <c r="G72" s="230"/>
      <c r="H72" s="230"/>
      <c r="I72" s="230"/>
      <c r="J72" s="234"/>
      <c r="K72" s="234"/>
      <c r="L72" s="234"/>
      <c r="M72" s="234"/>
      <c r="N72" s="234"/>
      <c r="O72" s="234"/>
      <c r="P72" s="234"/>
      <c r="Q72" s="234"/>
      <c r="R72" s="234"/>
      <c r="S72" s="234"/>
      <c r="T72" s="234"/>
      <c r="U72" s="234"/>
      <c r="V72" s="234"/>
      <c r="W72" s="234"/>
      <c r="X72" s="234"/>
      <c r="Y72" s="234"/>
      <c r="Z72" s="234"/>
      <c r="AA72" s="234"/>
      <c r="AB72" s="234"/>
      <c r="AC72" s="234"/>
      <c r="AD72" s="234"/>
      <c r="AE72" s="234"/>
      <c r="AF72" s="234"/>
      <c r="AG72" s="234"/>
      <c r="AH72" s="234"/>
      <c r="AI72" s="234"/>
      <c r="AJ72" s="234"/>
      <c r="AK72" s="234"/>
      <c r="AL72" s="234"/>
      <c r="AM72" s="234"/>
      <c r="AN72" s="234"/>
      <c r="AO72" s="234"/>
      <c r="AP72" s="234"/>
      <c r="AQ72" s="234"/>
      <c r="AR72" s="234"/>
      <c r="AS72" s="234"/>
      <c r="AT72" s="234"/>
      <c r="AU72" s="234"/>
      <c r="AV72" s="234"/>
      <c r="AW72" s="234"/>
      <c r="AX72" s="234"/>
      <c r="AY72" s="234"/>
      <c r="AZ72" s="234"/>
      <c r="BA72" s="236"/>
    </row>
    <row r="73" spans="2:61" ht="50.45" customHeight="1" x14ac:dyDescent="0.2">
      <c r="B73" s="36" t="s">
        <v>241</v>
      </c>
      <c r="C73" s="145" t="s">
        <v>246</v>
      </c>
      <c r="D73" s="34"/>
      <c r="E73" s="146" t="s">
        <v>251</v>
      </c>
      <c r="F73" s="14" t="s">
        <v>57</v>
      </c>
      <c r="G73" s="9" t="s">
        <v>247</v>
      </c>
      <c r="H73" s="217">
        <v>44197</v>
      </c>
      <c r="I73" s="216" t="s">
        <v>129</v>
      </c>
      <c r="J73" s="30">
        <f>'[1]Summary for IPSIS'!$H$45+'[1]Summary for IPSIS'!$I$45</f>
        <v>271320</v>
      </c>
      <c r="K73" s="27">
        <f>'[1]Summary for IPSIS'!$J$45</f>
        <v>4025000</v>
      </c>
      <c r="L73" s="27">
        <f t="shared" ref="L73:L79" si="289">SUM(J73:K73)</f>
        <v>4296320</v>
      </c>
      <c r="M73" s="30">
        <f>'[1]Summary for IPSIS'!$T$45+'[1]Summary for IPSIS'!$U$45</f>
        <v>13944056</v>
      </c>
      <c r="N73" s="27">
        <f>'[1]Summary for IPSIS'!$V$45</f>
        <v>4025000</v>
      </c>
      <c r="O73" s="27">
        <f t="shared" ref="O73:O79" si="290">SUM(M73:N73)</f>
        <v>17969056</v>
      </c>
      <c r="P73" s="30">
        <f>'[1]Summary for IPSIS'!$AF$45+'[1]Summary for IPSIS'!$AG$45</f>
        <v>11528600</v>
      </c>
      <c r="Q73" s="27">
        <f>'[1]Summary for IPSIS'!$AH$45</f>
        <v>4025000</v>
      </c>
      <c r="R73" s="27">
        <f t="shared" ref="R73:R79" si="291">SUM(P73:Q73)</f>
        <v>15553600</v>
      </c>
      <c r="S73" s="30">
        <f>'[1]Summary for IPSIS'!$AR$45+'[1]Summary for IPSIS'!$AS$45</f>
        <v>271320</v>
      </c>
      <c r="T73" s="27">
        <f>'[1]Summary for IPSIS'!$AT$45</f>
        <v>4025000</v>
      </c>
      <c r="U73" s="27">
        <f t="shared" ref="U73:U79" si="292">SUM(S73:T73)</f>
        <v>4296320</v>
      </c>
      <c r="V73" s="30">
        <f>'[1]Summary for IPSIS'!$BD$45+'[1]Summary for IPSIS'!$BE$45</f>
        <v>271320</v>
      </c>
      <c r="W73" s="27">
        <f>'[1]Summary for IPSIS'!$BF$45</f>
        <v>4025000</v>
      </c>
      <c r="X73" s="27">
        <f t="shared" ref="X73:X79" si="293">SUM(V73:W73)</f>
        <v>4296320</v>
      </c>
      <c r="Y73" s="27">
        <f>'[1]Summary for IPSIS'!$BP$45+'[1]Summary for IPSIS'!$BQ$45</f>
        <v>0</v>
      </c>
      <c r="Z73" s="27">
        <f>'[1]Summary for IPSIS'!$BR$45</f>
        <v>0</v>
      </c>
      <c r="AA73" s="27">
        <f>SUM(Y73:Z73)</f>
        <v>0</v>
      </c>
      <c r="AB73" s="27">
        <f>'[1]Summary for IPSIS'!$CB$45+'[1]Summary for IPSIS'!$CC$45</f>
        <v>10173120</v>
      </c>
      <c r="AC73" s="27">
        <f>'[1]Summary for IPSIS'!$CD$45</f>
        <v>0</v>
      </c>
      <c r="AD73" s="27">
        <f>SUM(AB73:AC73)</f>
        <v>10173120</v>
      </c>
      <c r="AE73" s="27">
        <f>'[1]Summary for IPSIS'!$CN$45+'[1]Summary for IPSIS'!$CO$45</f>
        <v>0</v>
      </c>
      <c r="AF73" s="27">
        <f>'[1]Summary for IPSIS'!$CP$45</f>
        <v>0</v>
      </c>
      <c r="AG73" s="27">
        <f>SUM(AE73:AF73)</f>
        <v>0</v>
      </c>
      <c r="AH73" s="27">
        <f>'[1]Summary for IPSIS'!$CZ$45+'[1]Summary for IPSIS'!$DA$45</f>
        <v>0</v>
      </c>
      <c r="AI73" s="27">
        <f>'[1]Summary for IPSIS'!$DB$45</f>
        <v>0</v>
      </c>
      <c r="AJ73" s="27">
        <f>SUM(AH73:AI73)</f>
        <v>0</v>
      </c>
      <c r="AK73" s="27">
        <f>'[1]Summary for IPSIS'!$DL$45+'[1]Summary for IPSIS'!$DM$45</f>
        <v>0</v>
      </c>
      <c r="AL73" s="27">
        <f>'[1]Summary for IPSIS'!$DN$45</f>
        <v>0</v>
      </c>
      <c r="AM73" s="27">
        <f>SUM(AK73:AL73)</f>
        <v>0</v>
      </c>
      <c r="AN73" s="23">
        <f t="shared" ref="AN73:AO74" si="294">J73+M73+P73+S73+V73+Y73+AB73+AE73+AH73+AK73</f>
        <v>36459736</v>
      </c>
      <c r="AO73" s="23">
        <f t="shared" si="294"/>
        <v>20125000</v>
      </c>
      <c r="AP73" s="27">
        <f t="shared" ref="AP73:AP79" si="295">SUM(AN73:AO73)</f>
        <v>56584736</v>
      </c>
      <c r="AQ73" s="25">
        <f>271320+1588056+6696600</f>
        <v>8555976</v>
      </c>
      <c r="AR73" s="29">
        <v>1000000</v>
      </c>
      <c r="AS73" s="29">
        <f t="shared" ref="AS73:AS79" si="296">SUM(AQ73:AR73)</f>
        <v>9555976</v>
      </c>
      <c r="AT73" s="30">
        <v>3720000</v>
      </c>
      <c r="AU73" s="29">
        <f>0</f>
        <v>0</v>
      </c>
      <c r="AV73" s="29"/>
      <c r="AW73" s="29">
        <f t="shared" ref="AW73:AW79" si="297">SUM(AT73:AU73)</f>
        <v>3720000</v>
      </c>
      <c r="AX73" s="25">
        <f>271320*2+4*2375000+4341000</f>
        <v>14383640</v>
      </c>
      <c r="AY73" s="29">
        <v>2000000</v>
      </c>
      <c r="AZ73" s="29">
        <f t="shared" ref="AZ73:AZ79" si="298">SUM(AX73:AY73)</f>
        <v>16383640</v>
      </c>
      <c r="BA73" s="161">
        <f t="shared" si="254"/>
        <v>-26925120</v>
      </c>
    </row>
    <row r="74" spans="2:61" ht="45.6" customHeight="1" thickBot="1" x14ac:dyDescent="0.25">
      <c r="B74" s="36" t="s">
        <v>242</v>
      </c>
      <c r="C74" s="145" t="s">
        <v>248</v>
      </c>
      <c r="D74" s="34"/>
      <c r="E74" s="154" t="s">
        <v>252</v>
      </c>
      <c r="F74" s="14" t="s">
        <v>250</v>
      </c>
      <c r="G74" s="9" t="s">
        <v>249</v>
      </c>
      <c r="H74" s="217">
        <v>44562</v>
      </c>
      <c r="I74" s="216" t="s">
        <v>178</v>
      </c>
      <c r="J74" s="30">
        <f>'[1]Summary for IPSIS'!$H$46+'[1]Summary for IPSIS'!$I$46</f>
        <v>0</v>
      </c>
      <c r="K74" s="27">
        <f>'[1]Summary for IPSIS'!$J$46</f>
        <v>0</v>
      </c>
      <c r="L74" s="27">
        <f t="shared" si="289"/>
        <v>0</v>
      </c>
      <c r="M74" s="30">
        <f>'[1]Summary for IPSIS'!$T$46+'[1]Summary for IPSIS'!$U$46</f>
        <v>2273968</v>
      </c>
      <c r="N74" s="27">
        <f>'[1]Summary for IPSIS'!$V$46</f>
        <v>0</v>
      </c>
      <c r="O74" s="27">
        <f t="shared" si="290"/>
        <v>2273968</v>
      </c>
      <c r="P74" s="30">
        <f>'[1]Summary for IPSIS'!$AF$46</f>
        <v>542080</v>
      </c>
      <c r="Q74" s="27">
        <f>'[1]Summary for IPSIS'!$AH$46</f>
        <v>0</v>
      </c>
      <c r="R74" s="27">
        <f t="shared" si="291"/>
        <v>542080</v>
      </c>
      <c r="S74" s="30">
        <f>'[1]Summary for IPSIS'!$AR$46+'[1]Summary for IPSIS'!$AS$46</f>
        <v>1824000</v>
      </c>
      <c r="T74" s="27">
        <f>'[1]Summary for IPSIS'!$AT$46</f>
        <v>0</v>
      </c>
      <c r="U74" s="27">
        <f t="shared" si="292"/>
        <v>1824000</v>
      </c>
      <c r="V74" s="30">
        <f>'[1]Summary for IPSIS'!$BD$46+'[1]Summary for IPSIS'!$BE$46</f>
        <v>9855120</v>
      </c>
      <c r="W74" s="27">
        <f>'[1]Summary for IPSIS'!$BF$46</f>
        <v>0</v>
      </c>
      <c r="X74" s="27">
        <f t="shared" si="293"/>
        <v>9855120</v>
      </c>
      <c r="Y74" s="27">
        <f>'[1]Summary for IPSIS'!$BP$46+'[1]Summary for IPSIS'!$BQ$46</f>
        <v>9855120</v>
      </c>
      <c r="Z74" s="27">
        <f>'[1]Summary for IPSIS'!$BR$46</f>
        <v>0</v>
      </c>
      <c r="AA74" s="27">
        <f>SUM(Y74:Z74)</f>
        <v>9855120</v>
      </c>
      <c r="AB74" s="27">
        <f>'[1]Summary for IPSIS'!$CB$46+'[1]Summary for IPSIS'!$CC$46</f>
        <v>9855120</v>
      </c>
      <c r="AC74" s="27">
        <f>'[1]Summary for IPSIS'!$CD$46</f>
        <v>0</v>
      </c>
      <c r="AD74" s="27">
        <f>SUM(AB74:AC74)</f>
        <v>9855120</v>
      </c>
      <c r="AE74" s="27">
        <f>'[1]Summary for IPSIS'!$CN$46+'[1]Summary for IPSIS'!$CO$46</f>
        <v>9855120</v>
      </c>
      <c r="AF74" s="27">
        <f>'[1]Summary for IPSIS'!$CP$46</f>
        <v>0</v>
      </c>
      <c r="AG74" s="27">
        <f>SUM(AE74:AF74)</f>
        <v>9855120</v>
      </c>
      <c r="AH74" s="27">
        <f>'[1]Summary for IPSIS'!$CZ$46+'[1]Summary for IPSIS'!$DA$46</f>
        <v>0</v>
      </c>
      <c r="AI74" s="27">
        <f>'[1]Summary for IPSIS'!$DB$46</f>
        <v>0</v>
      </c>
      <c r="AJ74" s="27">
        <f>SUM(AH74:AI74)</f>
        <v>0</v>
      </c>
      <c r="AK74" s="27">
        <f>'[1]Summary for IPSIS'!$DL$46+'[1]Summary for IPSIS'!$DM$46</f>
        <v>0</v>
      </c>
      <c r="AL74" s="27">
        <f>'[1]Summary for IPSIS'!$DN$46</f>
        <v>0</v>
      </c>
      <c r="AM74" s="27">
        <f>SUM(AK74:AL74)</f>
        <v>0</v>
      </c>
      <c r="AN74" s="23">
        <f t="shared" si="294"/>
        <v>44060528</v>
      </c>
      <c r="AO74" s="23">
        <f t="shared" si="294"/>
        <v>0</v>
      </c>
      <c r="AP74" s="27">
        <f t="shared" si="295"/>
        <v>44060528</v>
      </c>
      <c r="AQ74" s="25">
        <f>158368+542080</f>
        <v>700448</v>
      </c>
      <c r="AR74" s="29">
        <f>0</f>
        <v>0</v>
      </c>
      <c r="AS74" s="29">
        <f t="shared" si="296"/>
        <v>700448</v>
      </c>
      <c r="AT74" s="30">
        <f>0</f>
        <v>0</v>
      </c>
      <c r="AU74" s="29">
        <f>0</f>
        <v>0</v>
      </c>
      <c r="AV74" s="29"/>
      <c r="AW74" s="29">
        <f t="shared" si="297"/>
        <v>0</v>
      </c>
      <c r="AX74" s="25">
        <f>0</f>
        <v>0</v>
      </c>
      <c r="AY74" s="29">
        <f>0</f>
        <v>0</v>
      </c>
      <c r="AZ74" s="29">
        <f t="shared" si="298"/>
        <v>0</v>
      </c>
      <c r="BA74" s="161">
        <f t="shared" si="254"/>
        <v>-43360080</v>
      </c>
    </row>
    <row r="75" spans="2:61" s="6" customFormat="1" ht="21.6" customHeight="1" thickBot="1" x14ac:dyDescent="0.25">
      <c r="B75" s="46"/>
      <c r="C75" s="52" t="s">
        <v>262</v>
      </c>
      <c r="D75" s="53"/>
      <c r="E75" s="53"/>
      <c r="F75" s="44"/>
      <c r="G75" s="44"/>
      <c r="H75" s="44"/>
      <c r="I75" s="44"/>
      <c r="J75" s="45">
        <f>SUM(J73:J74)</f>
        <v>271320</v>
      </c>
      <c r="K75" s="45">
        <f t="shared" ref="K75:AQ75" si="299">SUM(K73:K74)</f>
        <v>4025000</v>
      </c>
      <c r="L75" s="45">
        <f t="shared" si="299"/>
        <v>4296320</v>
      </c>
      <c r="M75" s="45">
        <f t="shared" si="299"/>
        <v>16218024</v>
      </c>
      <c r="N75" s="45">
        <f t="shared" si="299"/>
        <v>4025000</v>
      </c>
      <c r="O75" s="45">
        <f t="shared" si="299"/>
        <v>20243024</v>
      </c>
      <c r="P75" s="45">
        <f t="shared" si="299"/>
        <v>12070680</v>
      </c>
      <c r="Q75" s="45">
        <f t="shared" si="299"/>
        <v>4025000</v>
      </c>
      <c r="R75" s="45">
        <f t="shared" si="299"/>
        <v>16095680</v>
      </c>
      <c r="S75" s="45">
        <f t="shared" si="299"/>
        <v>2095320</v>
      </c>
      <c r="T75" s="45">
        <f t="shared" si="299"/>
        <v>4025000</v>
      </c>
      <c r="U75" s="45">
        <f t="shared" si="299"/>
        <v>6120320</v>
      </c>
      <c r="V75" s="45">
        <f t="shared" si="299"/>
        <v>10126440</v>
      </c>
      <c r="W75" s="45">
        <f t="shared" si="299"/>
        <v>4025000</v>
      </c>
      <c r="X75" s="45">
        <f t="shared" si="299"/>
        <v>14151440</v>
      </c>
      <c r="Y75" s="45">
        <f t="shared" si="299"/>
        <v>9855120</v>
      </c>
      <c r="Z75" s="45">
        <f t="shared" si="299"/>
        <v>0</v>
      </c>
      <c r="AA75" s="45">
        <f t="shared" si="299"/>
        <v>9855120</v>
      </c>
      <c r="AB75" s="45">
        <f t="shared" si="299"/>
        <v>20028240</v>
      </c>
      <c r="AC75" s="45">
        <f t="shared" si="299"/>
        <v>0</v>
      </c>
      <c r="AD75" s="45">
        <f t="shared" si="299"/>
        <v>20028240</v>
      </c>
      <c r="AE75" s="45">
        <f t="shared" si="299"/>
        <v>9855120</v>
      </c>
      <c r="AF75" s="45">
        <f t="shared" si="299"/>
        <v>0</v>
      </c>
      <c r="AG75" s="45">
        <f t="shared" si="299"/>
        <v>9855120</v>
      </c>
      <c r="AH75" s="45">
        <f t="shared" si="299"/>
        <v>0</v>
      </c>
      <c r="AI75" s="45">
        <f t="shared" si="299"/>
        <v>0</v>
      </c>
      <c r="AJ75" s="45">
        <f t="shared" si="299"/>
        <v>0</v>
      </c>
      <c r="AK75" s="45">
        <f t="shared" si="299"/>
        <v>0</v>
      </c>
      <c r="AL75" s="45">
        <f t="shared" si="299"/>
        <v>0</v>
      </c>
      <c r="AM75" s="45">
        <f t="shared" si="299"/>
        <v>0</v>
      </c>
      <c r="AN75" s="45">
        <f t="shared" si="299"/>
        <v>80520264</v>
      </c>
      <c r="AO75" s="45">
        <f t="shared" si="299"/>
        <v>20125000</v>
      </c>
      <c r="AP75" s="45">
        <f t="shared" si="299"/>
        <v>100645264</v>
      </c>
      <c r="AQ75" s="45">
        <f t="shared" si="299"/>
        <v>9256424</v>
      </c>
      <c r="AR75" s="45">
        <f t="shared" ref="AR75" si="300">SUM(AR73:AR74)</f>
        <v>1000000</v>
      </c>
      <c r="AS75" s="45">
        <f t="shared" ref="AS75" si="301">SUM(AS73:AS74)</f>
        <v>10256424</v>
      </c>
      <c r="AT75" s="45">
        <f t="shared" ref="AT75" si="302">SUM(AT73:AT74)</f>
        <v>3720000</v>
      </c>
      <c r="AU75" s="45">
        <f t="shared" ref="AU75" si="303">SUM(AU73:AU74)</f>
        <v>0</v>
      </c>
      <c r="AV75" s="45">
        <f t="shared" ref="AV75" si="304">SUM(AV73:AV74)</f>
        <v>0</v>
      </c>
      <c r="AW75" s="45">
        <f t="shared" ref="AW75" si="305">SUM(AW73:AW74)</f>
        <v>3720000</v>
      </c>
      <c r="AX75" s="45">
        <f t="shared" ref="AX75" si="306">SUM(AX73:AX74)</f>
        <v>14383640</v>
      </c>
      <c r="AY75" s="45">
        <f t="shared" ref="AY75" si="307">SUM(AY73:AY74)</f>
        <v>2000000</v>
      </c>
      <c r="AZ75" s="45">
        <f t="shared" ref="AZ75" si="308">SUM(AZ73:AZ74)</f>
        <v>16383640</v>
      </c>
      <c r="BA75" s="45">
        <f t="shared" ref="BA75" si="309">SUM(BA73:BA74)</f>
        <v>-70285200</v>
      </c>
      <c r="BB75" s="26"/>
      <c r="BC75" s="125"/>
      <c r="BD75" s="26"/>
      <c r="BE75" s="26"/>
      <c r="BF75" s="26"/>
      <c r="BG75" s="26"/>
      <c r="BH75" s="26"/>
      <c r="BI75" s="26"/>
    </row>
    <row r="76" spans="2:61" ht="72" customHeight="1" x14ac:dyDescent="0.2">
      <c r="B76" s="201" t="s">
        <v>243</v>
      </c>
      <c r="C76" s="260" t="s">
        <v>253</v>
      </c>
      <c r="D76" s="261"/>
      <c r="E76" s="204"/>
      <c r="F76" s="61"/>
      <c r="G76" s="61"/>
      <c r="H76" s="66"/>
      <c r="I76" s="66"/>
      <c r="J76" s="65"/>
      <c r="K76" s="65"/>
      <c r="L76" s="63"/>
      <c r="M76" s="259"/>
      <c r="N76" s="259"/>
      <c r="O76" s="259"/>
      <c r="P76" s="65"/>
      <c r="Q76" s="63"/>
      <c r="R76" s="63"/>
      <c r="S76" s="259"/>
      <c r="T76" s="259"/>
      <c r="U76" s="259"/>
      <c r="V76" s="65"/>
      <c r="W76" s="63"/>
      <c r="X76" s="63"/>
      <c r="Y76" s="259"/>
      <c r="Z76" s="259"/>
      <c r="AA76" s="259"/>
      <c r="AB76" s="63"/>
      <c r="AC76" s="63"/>
      <c r="AD76" s="63"/>
      <c r="AE76" s="259"/>
      <c r="AF76" s="259"/>
      <c r="AG76" s="259"/>
      <c r="AH76" s="63"/>
      <c r="AI76" s="63"/>
      <c r="AJ76" s="63"/>
      <c r="AK76" s="259"/>
      <c r="AL76" s="259"/>
      <c r="AM76" s="259"/>
      <c r="AN76" s="63"/>
      <c r="AO76" s="63"/>
      <c r="AP76" s="63"/>
      <c r="AQ76" s="65"/>
      <c r="AR76" s="63"/>
      <c r="AS76" s="63"/>
      <c r="AT76" s="65"/>
      <c r="AU76" s="63"/>
      <c r="AV76" s="63"/>
      <c r="AW76" s="63"/>
      <c r="AX76" s="65"/>
      <c r="AY76" s="63"/>
      <c r="AZ76" s="63"/>
      <c r="BA76" s="64"/>
    </row>
    <row r="77" spans="2:61" ht="27" customHeight="1" x14ac:dyDescent="0.2">
      <c r="B77" s="208"/>
      <c r="C77" s="209" t="s">
        <v>56</v>
      </c>
      <c r="D77" s="229"/>
      <c r="E77" s="229"/>
      <c r="F77" s="230"/>
      <c r="G77" s="230"/>
      <c r="H77" s="230"/>
      <c r="I77" s="230"/>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234"/>
      <c r="AP77" s="234"/>
      <c r="AQ77" s="234"/>
      <c r="AR77" s="234"/>
      <c r="AS77" s="234"/>
      <c r="AT77" s="234"/>
      <c r="AU77" s="234"/>
      <c r="AV77" s="234"/>
      <c r="AW77" s="234"/>
      <c r="AX77" s="234"/>
      <c r="AY77" s="234"/>
      <c r="AZ77" s="234"/>
      <c r="BA77" s="236"/>
    </row>
    <row r="78" spans="2:61" ht="52.9" customHeight="1" x14ac:dyDescent="0.2">
      <c r="B78" s="35" t="s">
        <v>244</v>
      </c>
      <c r="C78" s="145" t="s">
        <v>256</v>
      </c>
      <c r="D78" s="34"/>
      <c r="E78" s="146" t="s">
        <v>254</v>
      </c>
      <c r="F78" s="14" t="s">
        <v>57</v>
      </c>
      <c r="G78" s="9" t="s">
        <v>257</v>
      </c>
      <c r="H78" s="217">
        <v>44203</v>
      </c>
      <c r="I78" s="216" t="s">
        <v>129</v>
      </c>
      <c r="J78" s="30">
        <f>'[1]Summary for IPSIS'!$H$48+'[1]Summary for IPSIS'!$I$48</f>
        <v>2280000</v>
      </c>
      <c r="K78" s="27">
        <f>'[1]Summary for IPSIS'!$J$48</f>
        <v>0</v>
      </c>
      <c r="L78" s="27">
        <f t="shared" si="289"/>
        <v>2280000</v>
      </c>
      <c r="M78" s="30">
        <f>'[1]Summary for IPSIS'!$T$48+'[1]Summary for IPSIS'!$U$48</f>
        <v>25452000</v>
      </c>
      <c r="N78" s="27">
        <f>'[1]Summary for IPSIS'!$V$48</f>
        <v>0</v>
      </c>
      <c r="O78" s="27">
        <f t="shared" si="290"/>
        <v>25452000</v>
      </c>
      <c r="P78" s="30">
        <f>'[1]Summary for IPSIS'!$AF$48+'[1]Summary for IPSIS'!$AG$48</f>
        <v>25452000</v>
      </c>
      <c r="Q78" s="27">
        <f>'[1]Summary for IPSIS'!$AH$48</f>
        <v>0</v>
      </c>
      <c r="R78" s="27">
        <f t="shared" si="291"/>
        <v>25452000</v>
      </c>
      <c r="S78" s="30">
        <f>'[1]Summary for IPSIS'!$AR$48+'[1]Summary for IPSIS'!$AS$48</f>
        <v>25452000</v>
      </c>
      <c r="T78" s="27">
        <f>'[1]Summary for IPSIS'!$AT$48</f>
        <v>0</v>
      </c>
      <c r="U78" s="27">
        <f t="shared" si="292"/>
        <v>25452000</v>
      </c>
      <c r="V78" s="30">
        <f>'[1]Summary for IPSIS'!$BD$48+'[1]Summary for IPSIS'!$BE$48</f>
        <v>25452000</v>
      </c>
      <c r="W78" s="27">
        <f>'[1]Summary for IPSIS'!$BF$48</f>
        <v>0</v>
      </c>
      <c r="X78" s="27">
        <f t="shared" si="293"/>
        <v>25452000</v>
      </c>
      <c r="Y78" s="27">
        <f>0</f>
        <v>0</v>
      </c>
      <c r="Z78" s="27">
        <v>0</v>
      </c>
      <c r="AA78" s="27">
        <f>SUM(Y78:Z78)</f>
        <v>0</v>
      </c>
      <c r="AB78" s="27">
        <v>0</v>
      </c>
      <c r="AC78" s="27">
        <v>0</v>
      </c>
      <c r="AD78" s="27">
        <f>SUM(AB78:AC78)</f>
        <v>0</v>
      </c>
      <c r="AE78" s="27">
        <v>0</v>
      </c>
      <c r="AF78" s="27">
        <v>0</v>
      </c>
      <c r="AG78" s="27">
        <f>SUM(AE78:AF78)</f>
        <v>0</v>
      </c>
      <c r="AH78" s="27">
        <v>0</v>
      </c>
      <c r="AI78" s="27">
        <v>0</v>
      </c>
      <c r="AJ78" s="27">
        <f>SUM(AH78:AI78)</f>
        <v>0</v>
      </c>
      <c r="AK78" s="27">
        <v>0</v>
      </c>
      <c r="AL78" s="27">
        <v>0</v>
      </c>
      <c r="AM78" s="27">
        <f>SUM(AK78:AL78)</f>
        <v>0</v>
      </c>
      <c r="AN78" s="23">
        <f t="shared" ref="AN78:AO79" si="310">J78+M78+P78+S78+V78+Y78+AB78+AE78+AH78+AK78</f>
        <v>104088000</v>
      </c>
      <c r="AO78" s="23">
        <f t="shared" si="310"/>
        <v>0</v>
      </c>
      <c r="AP78" s="27">
        <f t="shared" si="295"/>
        <v>104088000</v>
      </c>
      <c r="AQ78" s="25">
        <f>0</f>
        <v>0</v>
      </c>
      <c r="AR78" s="29">
        <f>0</f>
        <v>0</v>
      </c>
      <c r="AS78" s="29">
        <f t="shared" si="296"/>
        <v>0</v>
      </c>
      <c r="AT78" s="30">
        <f>0</f>
        <v>0</v>
      </c>
      <c r="AU78" s="29">
        <f>0</f>
        <v>0</v>
      </c>
      <c r="AV78" s="29"/>
      <c r="AW78" s="29">
        <f t="shared" si="297"/>
        <v>0</v>
      </c>
      <c r="AX78" s="25">
        <f>0</f>
        <v>0</v>
      </c>
      <c r="AY78" s="29">
        <f>0</f>
        <v>0</v>
      </c>
      <c r="AZ78" s="29">
        <f t="shared" si="298"/>
        <v>0</v>
      </c>
      <c r="BA78" s="161">
        <f t="shared" si="254"/>
        <v>-104088000</v>
      </c>
    </row>
    <row r="79" spans="2:61" ht="96.75" thickBot="1" x14ac:dyDescent="0.25">
      <c r="B79" s="238" t="s">
        <v>245</v>
      </c>
      <c r="C79" s="162" t="s">
        <v>258</v>
      </c>
      <c r="D79" s="139"/>
      <c r="E79" s="166" t="s">
        <v>255</v>
      </c>
      <c r="F79" s="14" t="s">
        <v>57</v>
      </c>
      <c r="G79" s="163" t="s">
        <v>259</v>
      </c>
      <c r="H79" s="217">
        <v>44203</v>
      </c>
      <c r="I79" s="216" t="s">
        <v>129</v>
      </c>
      <c r="J79" s="60">
        <f>'[1]Summary for IPSIS'!$H$49+'[1]Summary for IPSIS'!$I$49</f>
        <v>16857592</v>
      </c>
      <c r="K79" s="73">
        <f>'[1]Summary for IPSIS'!$J$49</f>
        <v>0</v>
      </c>
      <c r="L79" s="73">
        <f t="shared" si="289"/>
        <v>16857592</v>
      </c>
      <c r="M79" s="60">
        <f>'[1]Summary for IPSIS'!$T$49+'[1]Summary for IPSIS'!$U$49</f>
        <v>12601192</v>
      </c>
      <c r="N79" s="73">
        <f>'[1]Summary for IPSIS'!$V$49</f>
        <v>0</v>
      </c>
      <c r="O79" s="73">
        <f t="shared" si="290"/>
        <v>12601192</v>
      </c>
      <c r="P79" s="60">
        <f>'[1]Summary for IPSIS'!$AF$49+'[1]Summary for IPSIS'!$AG$49</f>
        <v>19350232</v>
      </c>
      <c r="Q79" s="73">
        <f>'[1]Summary for IPSIS'!$AH$49</f>
        <v>0</v>
      </c>
      <c r="R79" s="73">
        <f t="shared" si="291"/>
        <v>19350232</v>
      </c>
      <c r="S79" s="60">
        <f>'[1]Summary for IPSIS'!$AR$49+'[1]Summary for IPSIS'!$AS$49</f>
        <v>19350232</v>
      </c>
      <c r="T79" s="73">
        <f>'[1]Summary for IPSIS'!$AT$49</f>
        <v>0</v>
      </c>
      <c r="U79" s="73">
        <f t="shared" si="292"/>
        <v>19350232</v>
      </c>
      <c r="V79" s="60">
        <f>'[1]Summary for IPSIS'!$BD$49+'[1]Summary for IPSIS'!$BE$49</f>
        <v>19350232</v>
      </c>
      <c r="W79" s="73">
        <f>'[1]Summary for IPSIS'!$BF$49</f>
        <v>0</v>
      </c>
      <c r="X79" s="73">
        <f t="shared" si="293"/>
        <v>19350232</v>
      </c>
      <c r="Y79" s="73">
        <v>0</v>
      </c>
      <c r="Z79" s="73">
        <v>0</v>
      </c>
      <c r="AA79" s="27">
        <f>SUM(Y79:Z79)</f>
        <v>0</v>
      </c>
      <c r="AB79" s="73">
        <v>0</v>
      </c>
      <c r="AC79" s="73">
        <v>0</v>
      </c>
      <c r="AD79" s="27">
        <f>SUM(AB79:AC79)</f>
        <v>0</v>
      </c>
      <c r="AE79" s="73">
        <v>0</v>
      </c>
      <c r="AF79" s="73">
        <v>0</v>
      </c>
      <c r="AG79" s="27">
        <f>SUM(AE79:AF79)</f>
        <v>0</v>
      </c>
      <c r="AH79" s="73">
        <v>0</v>
      </c>
      <c r="AI79" s="73">
        <v>0</v>
      </c>
      <c r="AJ79" s="27">
        <f>SUM(AH79:AI79)</f>
        <v>0</v>
      </c>
      <c r="AK79" s="73">
        <v>0</v>
      </c>
      <c r="AL79" s="73">
        <v>0</v>
      </c>
      <c r="AM79" s="27">
        <f>SUM(AK79:AL79)</f>
        <v>0</v>
      </c>
      <c r="AN79" s="23">
        <f t="shared" si="310"/>
        <v>87509480</v>
      </c>
      <c r="AO79" s="23">
        <f t="shared" si="310"/>
        <v>0</v>
      </c>
      <c r="AP79" s="73">
        <f t="shared" si="295"/>
        <v>87509480</v>
      </c>
      <c r="AQ79" s="171">
        <f>2*11917192+16668232</f>
        <v>40502616</v>
      </c>
      <c r="AR79" s="67">
        <f>0</f>
        <v>0</v>
      </c>
      <c r="AS79" s="67">
        <f t="shared" si="296"/>
        <v>40502616</v>
      </c>
      <c r="AT79" s="60">
        <f>0</f>
        <v>0</v>
      </c>
      <c r="AU79" s="67">
        <f>0</f>
        <v>0</v>
      </c>
      <c r="AV79" s="67"/>
      <c r="AW79" s="67">
        <f t="shared" si="297"/>
        <v>0</v>
      </c>
      <c r="AX79" s="171">
        <f>2*16668232</f>
        <v>33336464</v>
      </c>
      <c r="AY79" s="67">
        <f>0</f>
        <v>0</v>
      </c>
      <c r="AZ79" s="67">
        <f t="shared" si="298"/>
        <v>33336464</v>
      </c>
      <c r="BA79" s="164">
        <f t="shared" si="254"/>
        <v>-13670400</v>
      </c>
    </row>
    <row r="80" spans="2:61" s="6" customFormat="1" ht="29.25" customHeight="1" thickBot="1" x14ac:dyDescent="0.25">
      <c r="B80" s="46"/>
      <c r="C80" s="52" t="s">
        <v>261</v>
      </c>
      <c r="D80" s="53"/>
      <c r="E80" s="53"/>
      <c r="F80" s="44"/>
      <c r="G80" s="44"/>
      <c r="H80" s="44"/>
      <c r="I80" s="44"/>
      <c r="J80" s="45">
        <f>SUM(J78:J79)</f>
        <v>19137592</v>
      </c>
      <c r="K80" s="45">
        <f t="shared" ref="K80:BA80" si="311">SUM(K78:K79)</f>
        <v>0</v>
      </c>
      <c r="L80" s="45">
        <f t="shared" si="311"/>
        <v>19137592</v>
      </c>
      <c r="M80" s="45">
        <f t="shared" si="311"/>
        <v>38053192</v>
      </c>
      <c r="N80" s="45">
        <f t="shared" si="311"/>
        <v>0</v>
      </c>
      <c r="O80" s="45">
        <f t="shared" si="311"/>
        <v>38053192</v>
      </c>
      <c r="P80" s="45">
        <f t="shared" si="311"/>
        <v>44802232</v>
      </c>
      <c r="Q80" s="45">
        <f t="shared" si="311"/>
        <v>0</v>
      </c>
      <c r="R80" s="45">
        <f t="shared" si="311"/>
        <v>44802232</v>
      </c>
      <c r="S80" s="45">
        <f t="shared" si="311"/>
        <v>44802232</v>
      </c>
      <c r="T80" s="45">
        <f t="shared" si="311"/>
        <v>0</v>
      </c>
      <c r="U80" s="45">
        <f t="shared" si="311"/>
        <v>44802232</v>
      </c>
      <c r="V80" s="45">
        <f t="shared" si="311"/>
        <v>44802232</v>
      </c>
      <c r="W80" s="45">
        <f t="shared" si="311"/>
        <v>0</v>
      </c>
      <c r="X80" s="45">
        <f t="shared" si="311"/>
        <v>44802232</v>
      </c>
      <c r="Y80" s="45">
        <f t="shared" si="311"/>
        <v>0</v>
      </c>
      <c r="Z80" s="45">
        <f t="shared" si="311"/>
        <v>0</v>
      </c>
      <c r="AA80" s="45">
        <f t="shared" si="311"/>
        <v>0</v>
      </c>
      <c r="AB80" s="45">
        <f t="shared" si="311"/>
        <v>0</v>
      </c>
      <c r="AC80" s="45">
        <f t="shared" si="311"/>
        <v>0</v>
      </c>
      <c r="AD80" s="45">
        <f t="shared" si="311"/>
        <v>0</v>
      </c>
      <c r="AE80" s="45">
        <f t="shared" si="311"/>
        <v>0</v>
      </c>
      <c r="AF80" s="45">
        <f t="shared" si="311"/>
        <v>0</v>
      </c>
      <c r="AG80" s="45">
        <f t="shared" si="311"/>
        <v>0</v>
      </c>
      <c r="AH80" s="45">
        <f t="shared" si="311"/>
        <v>0</v>
      </c>
      <c r="AI80" s="45">
        <f t="shared" si="311"/>
        <v>0</v>
      </c>
      <c r="AJ80" s="45">
        <f t="shared" si="311"/>
        <v>0</v>
      </c>
      <c r="AK80" s="45">
        <f t="shared" si="311"/>
        <v>0</v>
      </c>
      <c r="AL80" s="45">
        <f t="shared" si="311"/>
        <v>0</v>
      </c>
      <c r="AM80" s="45">
        <f t="shared" si="311"/>
        <v>0</v>
      </c>
      <c r="AN80" s="45">
        <f t="shared" si="311"/>
        <v>191597480</v>
      </c>
      <c r="AO80" s="45">
        <f t="shared" si="311"/>
        <v>0</v>
      </c>
      <c r="AP80" s="45">
        <f t="shared" si="311"/>
        <v>191597480</v>
      </c>
      <c r="AQ80" s="45">
        <f t="shared" si="311"/>
        <v>40502616</v>
      </c>
      <c r="AR80" s="45">
        <f t="shared" si="311"/>
        <v>0</v>
      </c>
      <c r="AS80" s="45">
        <f t="shared" si="311"/>
        <v>40502616</v>
      </c>
      <c r="AT80" s="45">
        <f t="shared" si="311"/>
        <v>0</v>
      </c>
      <c r="AU80" s="45">
        <f t="shared" si="311"/>
        <v>0</v>
      </c>
      <c r="AV80" s="45">
        <f t="shared" si="311"/>
        <v>0</v>
      </c>
      <c r="AW80" s="45">
        <f t="shared" si="311"/>
        <v>0</v>
      </c>
      <c r="AX80" s="45">
        <f t="shared" si="311"/>
        <v>33336464</v>
      </c>
      <c r="AY80" s="45">
        <f t="shared" si="311"/>
        <v>0</v>
      </c>
      <c r="AZ80" s="45">
        <f t="shared" si="311"/>
        <v>33336464</v>
      </c>
      <c r="BA80" s="239">
        <f t="shared" si="311"/>
        <v>-117758400</v>
      </c>
      <c r="BB80" s="26"/>
      <c r="BC80" s="26"/>
      <c r="BD80" s="26"/>
      <c r="BE80" s="26"/>
      <c r="BF80" s="26"/>
      <c r="BG80" s="26"/>
      <c r="BH80" s="26"/>
      <c r="BI80" s="26"/>
    </row>
    <row r="81" spans="2:61" s="6" customFormat="1" ht="29.25" customHeight="1" thickBot="1" x14ac:dyDescent="0.25">
      <c r="B81" s="46"/>
      <c r="C81" s="301" t="s">
        <v>260</v>
      </c>
      <c r="D81" s="302"/>
      <c r="E81" s="144"/>
      <c r="F81" s="44"/>
      <c r="G81" s="44"/>
      <c r="H81" s="44"/>
      <c r="I81" s="44"/>
      <c r="J81" s="45">
        <f>J80+J75+J70+J66+J57</f>
        <v>39102615.200000003</v>
      </c>
      <c r="K81" s="45">
        <f t="shared" ref="K81:V81" si="312">K80+K75+K70+K66+K57</f>
        <v>4025000</v>
      </c>
      <c r="L81" s="45">
        <f t="shared" si="312"/>
        <v>43127615.200000003</v>
      </c>
      <c r="M81" s="45">
        <f t="shared" si="312"/>
        <v>179478807.19999999</v>
      </c>
      <c r="N81" s="45">
        <f t="shared" si="312"/>
        <v>11385000</v>
      </c>
      <c r="O81" s="45">
        <f t="shared" si="312"/>
        <v>190863807.19999999</v>
      </c>
      <c r="P81" s="45">
        <f t="shared" si="312"/>
        <v>187191520</v>
      </c>
      <c r="Q81" s="45">
        <f t="shared" si="312"/>
        <v>31165000</v>
      </c>
      <c r="R81" s="45">
        <f t="shared" si="312"/>
        <v>218356520</v>
      </c>
      <c r="S81" s="45">
        <f t="shared" si="312"/>
        <v>210298759.19999999</v>
      </c>
      <c r="T81" s="45">
        <f t="shared" si="312"/>
        <v>101430000</v>
      </c>
      <c r="U81" s="45">
        <f t="shared" si="312"/>
        <v>311728759.19999999</v>
      </c>
      <c r="V81" s="45">
        <f t="shared" si="312"/>
        <v>217153879.19999999</v>
      </c>
      <c r="W81" s="45">
        <f t="shared" ref="W81" si="313">W80+W75+W70+W66+W57</f>
        <v>93840000</v>
      </c>
      <c r="X81" s="45">
        <f t="shared" ref="X81" si="314">X80+X75+X70+X66+X57</f>
        <v>310993879.19999999</v>
      </c>
      <c r="Y81" s="45">
        <f t="shared" ref="Y81" si="315">Y80+Y75+Y70+Y66+Y57</f>
        <v>141113436</v>
      </c>
      <c r="Z81" s="45">
        <f t="shared" ref="Z81" si="316">Z80+Z75+Z70+Z66+Z57</f>
        <v>82432000</v>
      </c>
      <c r="AA81" s="45">
        <f t="shared" ref="AA81" si="317">AA80+AA75+AA70+AA66+AA57</f>
        <v>223545436</v>
      </c>
      <c r="AB81" s="45">
        <f t="shared" ref="AB81" si="318">AB80+AB75+AB70+AB66+AB57</f>
        <v>150666156</v>
      </c>
      <c r="AC81" s="45">
        <f t="shared" ref="AC81" si="319">AC80+AC75+AC70+AC66+AC57</f>
        <v>81650000</v>
      </c>
      <c r="AD81" s="45">
        <f t="shared" ref="AD81" si="320">AD80+AD75+AD70+AD66+AD57</f>
        <v>232316156</v>
      </c>
      <c r="AE81" s="45">
        <f t="shared" ref="AE81" si="321">AE80+AE75+AE70+AE66+AE57</f>
        <v>139173036</v>
      </c>
      <c r="AF81" s="45">
        <f t="shared" ref="AF81" si="322">AF80+AF75+AF70+AF66+AF57</f>
        <v>81420000</v>
      </c>
      <c r="AG81" s="45">
        <f t="shared" ref="AG81" si="323">AG80+AG75+AG70+AG66+AG57</f>
        <v>220593036</v>
      </c>
      <c r="AH81" s="45">
        <f t="shared" ref="AH81" si="324">AH80+AH75+AH70+AH66+AH57</f>
        <v>129317916</v>
      </c>
      <c r="AI81" s="45">
        <f t="shared" ref="AI81" si="325">AI80+AI75+AI70+AI66+AI57</f>
        <v>80868000</v>
      </c>
      <c r="AJ81" s="45">
        <f t="shared" ref="AJ81" si="326">AJ80+AJ75+AJ70+AJ66+AJ57</f>
        <v>210185916</v>
      </c>
      <c r="AK81" s="45">
        <f t="shared" ref="AK81" si="327">AK80+AK75+AK70+AK66+AK57</f>
        <v>132221916</v>
      </c>
      <c r="AL81" s="45">
        <f t="shared" ref="AL81" si="328">AL80+AL75+AL70+AL66+AL57</f>
        <v>80730000</v>
      </c>
      <c r="AM81" s="45">
        <f t="shared" ref="AM81" si="329">AM80+AM75+AM70+AM66+AM57</f>
        <v>212951916</v>
      </c>
      <c r="AN81" s="45">
        <f t="shared" ref="AN81" si="330">AN80+AN75+AN70+AN66+AN57</f>
        <v>1525718040.8</v>
      </c>
      <c r="AO81" s="45">
        <f t="shared" ref="AO81" si="331">AO80+AO75+AO70+AO66+AO57</f>
        <v>648945000</v>
      </c>
      <c r="AP81" s="45">
        <f t="shared" ref="AP81" si="332">AP80+AP75+AP70+AP66+AP57</f>
        <v>2174663040.8000002</v>
      </c>
      <c r="AQ81" s="45">
        <f t="shared" ref="AQ81" si="333">AQ80+AQ75+AQ70+AQ66+AQ57</f>
        <v>104640508</v>
      </c>
      <c r="AR81" s="45">
        <f t="shared" ref="AR81" si="334">AR80+AR75+AR70+AR66+AR57</f>
        <v>12500000</v>
      </c>
      <c r="AS81" s="45">
        <f t="shared" ref="AS81" si="335">AS80+AS75+AS70+AS66+AS57</f>
        <v>117140508</v>
      </c>
      <c r="AT81" s="45">
        <f t="shared" ref="AT81" si="336">AT80+AT75+AT70+AT66+AT57</f>
        <v>626877808</v>
      </c>
      <c r="AU81" s="45">
        <f t="shared" ref="AU81" si="337">AU80+AU75+AU70+AU66+AU57</f>
        <v>201000000</v>
      </c>
      <c r="AV81" s="45">
        <f t="shared" ref="AV81" si="338">AV80+AV75+AV70+AV66+AV57</f>
        <v>0</v>
      </c>
      <c r="AW81" s="45">
        <f t="shared" ref="AW81" si="339">AW80+AW75+AW70+AW66+AW57</f>
        <v>827877808</v>
      </c>
      <c r="AX81" s="45">
        <f t="shared" ref="AX81" si="340">AX80+AX75+AX70+AX66+AX57</f>
        <v>446382332</v>
      </c>
      <c r="AY81" s="45">
        <f t="shared" ref="AY81" si="341">AY80+AY75+AY70+AY66+AY57</f>
        <v>312155000</v>
      </c>
      <c r="AZ81" s="45">
        <f t="shared" ref="AZ81" si="342">AZ80+AZ75+AZ70+AZ66+AZ57</f>
        <v>758537332</v>
      </c>
      <c r="BA81" s="239">
        <f t="shared" ref="BA81" si="343">BA80+BA75+BA70+BA66+BA57</f>
        <v>-471107392.80000001</v>
      </c>
      <c r="BB81" s="26"/>
      <c r="BC81" s="26"/>
      <c r="BD81" s="26"/>
      <c r="BE81" s="26"/>
      <c r="BF81" s="26"/>
      <c r="BG81" s="26"/>
      <c r="BH81" s="26"/>
      <c r="BI81" s="26"/>
    </row>
    <row r="82" spans="2:61" s="6" customFormat="1" ht="29.25" customHeight="1" thickBot="1" x14ac:dyDescent="0.25">
      <c r="B82" s="295" t="s">
        <v>263</v>
      </c>
      <c r="C82" s="305"/>
      <c r="D82" s="305"/>
      <c r="E82" s="305"/>
      <c r="F82" s="305"/>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Q82" s="305"/>
      <c r="AR82" s="305"/>
      <c r="AS82" s="305"/>
      <c r="AT82" s="305"/>
      <c r="AU82" s="305"/>
      <c r="AV82" s="305"/>
      <c r="AW82" s="305"/>
      <c r="AX82" s="305"/>
      <c r="AY82" s="305"/>
      <c r="AZ82" s="305"/>
      <c r="BA82" s="306"/>
      <c r="BB82" s="26"/>
      <c r="BC82" s="26"/>
      <c r="BD82" s="26"/>
      <c r="BE82" s="26"/>
      <c r="BF82" s="26"/>
      <c r="BG82" s="26"/>
      <c r="BH82" s="26"/>
      <c r="BI82" s="26"/>
    </row>
    <row r="83" spans="2:61" s="240" customFormat="1" ht="41.25" customHeight="1" thickBot="1" x14ac:dyDescent="0.25">
      <c r="B83" s="286" t="s">
        <v>104</v>
      </c>
      <c r="C83" s="287"/>
      <c r="D83" s="287"/>
      <c r="E83" s="287"/>
      <c r="F83" s="287"/>
      <c r="G83" s="287"/>
      <c r="H83" s="287"/>
      <c r="I83" s="287"/>
      <c r="J83" s="287"/>
      <c r="K83" s="287"/>
      <c r="L83" s="287"/>
      <c r="M83" s="287"/>
      <c r="N83" s="287"/>
      <c r="O83" s="287"/>
      <c r="P83" s="287"/>
      <c r="Q83" s="287"/>
      <c r="R83" s="287"/>
      <c r="S83" s="287"/>
      <c r="T83" s="287"/>
      <c r="U83" s="287"/>
      <c r="V83" s="287"/>
      <c r="W83" s="287"/>
      <c r="X83" s="287"/>
      <c r="Y83" s="287"/>
      <c r="Z83" s="287"/>
      <c r="AA83" s="287"/>
      <c r="AB83" s="287"/>
      <c r="AC83" s="287"/>
      <c r="AD83" s="287"/>
      <c r="AE83" s="287"/>
      <c r="AF83" s="287"/>
      <c r="AG83" s="287"/>
      <c r="AH83" s="287"/>
      <c r="AI83" s="287"/>
      <c r="AJ83" s="287"/>
      <c r="AK83" s="287"/>
      <c r="AL83" s="287"/>
      <c r="AM83" s="287"/>
      <c r="AN83" s="287"/>
      <c r="AO83" s="287"/>
      <c r="AP83" s="287"/>
      <c r="AQ83" s="287"/>
      <c r="AR83" s="287"/>
      <c r="AS83" s="287"/>
      <c r="AT83" s="287"/>
      <c r="AU83" s="287"/>
      <c r="AV83" s="287"/>
      <c r="AW83" s="287"/>
      <c r="AX83" s="287"/>
      <c r="AY83" s="287"/>
      <c r="AZ83" s="287"/>
      <c r="BA83" s="288"/>
    </row>
    <row r="84" spans="2:61" ht="45" customHeight="1" x14ac:dyDescent="0.2">
      <c r="B84" s="263" t="s">
        <v>0</v>
      </c>
      <c r="C84" s="269" t="s">
        <v>32</v>
      </c>
      <c r="D84" s="269" t="s">
        <v>1</v>
      </c>
      <c r="E84" s="132" t="s">
        <v>33</v>
      </c>
      <c r="F84" s="269" t="s">
        <v>99</v>
      </c>
      <c r="G84" s="269"/>
      <c r="H84" s="289" t="s">
        <v>37</v>
      </c>
      <c r="I84" s="289"/>
      <c r="J84" s="272" t="s">
        <v>40</v>
      </c>
      <c r="K84" s="272"/>
      <c r="L84" s="272"/>
      <c r="M84" s="272" t="s">
        <v>41</v>
      </c>
      <c r="N84" s="272"/>
      <c r="O84" s="272"/>
      <c r="P84" s="272" t="s">
        <v>42</v>
      </c>
      <c r="Q84" s="275"/>
      <c r="R84" s="275"/>
      <c r="S84" s="273" t="s">
        <v>43</v>
      </c>
      <c r="T84" s="273"/>
      <c r="U84" s="273"/>
      <c r="V84" s="273" t="s">
        <v>44</v>
      </c>
      <c r="W84" s="273"/>
      <c r="X84" s="273"/>
      <c r="Y84" s="273" t="s">
        <v>108</v>
      </c>
      <c r="Z84" s="273"/>
      <c r="AA84" s="273"/>
      <c r="AB84" s="273" t="s">
        <v>109</v>
      </c>
      <c r="AC84" s="273"/>
      <c r="AD84" s="273"/>
      <c r="AE84" s="273" t="s">
        <v>110</v>
      </c>
      <c r="AF84" s="273"/>
      <c r="AG84" s="273"/>
      <c r="AH84" s="273" t="s">
        <v>111</v>
      </c>
      <c r="AI84" s="273"/>
      <c r="AJ84" s="273"/>
      <c r="AK84" s="273" t="s">
        <v>112</v>
      </c>
      <c r="AL84" s="273"/>
      <c r="AM84" s="273"/>
      <c r="AN84" s="273" t="s">
        <v>45</v>
      </c>
      <c r="AO84" s="275"/>
      <c r="AP84" s="275"/>
      <c r="AQ84" s="272" t="s">
        <v>46</v>
      </c>
      <c r="AR84" s="272"/>
      <c r="AS84" s="272"/>
      <c r="AT84" s="272"/>
      <c r="AU84" s="272"/>
      <c r="AV84" s="272"/>
      <c r="AW84" s="272"/>
      <c r="AX84" s="272" t="s">
        <v>52</v>
      </c>
      <c r="AY84" s="278"/>
      <c r="AZ84" s="278"/>
      <c r="BA84" s="299" t="s">
        <v>53</v>
      </c>
    </row>
    <row r="85" spans="2:61" ht="45.6" customHeight="1" x14ac:dyDescent="0.2">
      <c r="B85" s="264"/>
      <c r="C85" s="267"/>
      <c r="D85" s="267"/>
      <c r="E85" s="267" t="s">
        <v>34</v>
      </c>
      <c r="F85" s="279" t="s">
        <v>35</v>
      </c>
      <c r="G85" s="279" t="s">
        <v>36</v>
      </c>
      <c r="H85" s="281" t="s">
        <v>38</v>
      </c>
      <c r="I85" s="281" t="s">
        <v>38</v>
      </c>
      <c r="J85" s="270"/>
      <c r="K85" s="270"/>
      <c r="L85" s="270"/>
      <c r="M85" s="270"/>
      <c r="N85" s="270"/>
      <c r="O85" s="270"/>
      <c r="P85" s="276"/>
      <c r="Q85" s="276"/>
      <c r="R85" s="276"/>
      <c r="S85" s="274"/>
      <c r="T85" s="274"/>
      <c r="U85" s="274"/>
      <c r="V85" s="274"/>
      <c r="W85" s="274"/>
      <c r="X85" s="274"/>
      <c r="Y85" s="274"/>
      <c r="Z85" s="274"/>
      <c r="AA85" s="274"/>
      <c r="AB85" s="274"/>
      <c r="AC85" s="274"/>
      <c r="AD85" s="274"/>
      <c r="AE85" s="274"/>
      <c r="AF85" s="274"/>
      <c r="AG85" s="274"/>
      <c r="AH85" s="274"/>
      <c r="AI85" s="274"/>
      <c r="AJ85" s="274"/>
      <c r="AK85" s="274"/>
      <c r="AL85" s="274"/>
      <c r="AM85" s="274"/>
      <c r="AN85" s="276"/>
      <c r="AO85" s="276"/>
      <c r="AP85" s="276"/>
      <c r="AQ85" s="270" t="s">
        <v>48</v>
      </c>
      <c r="AR85" s="271"/>
      <c r="AS85" s="271"/>
      <c r="AT85" s="270" t="s">
        <v>49</v>
      </c>
      <c r="AU85" s="290"/>
      <c r="AV85" s="290"/>
      <c r="AW85" s="290"/>
      <c r="AX85" s="277" t="s">
        <v>55</v>
      </c>
      <c r="AY85" s="277"/>
      <c r="AZ85" s="277"/>
      <c r="BA85" s="300"/>
    </row>
    <row r="86" spans="2:61" ht="28.5" customHeight="1" thickBot="1" x14ac:dyDescent="0.25">
      <c r="B86" s="265"/>
      <c r="C86" s="294"/>
      <c r="D86" s="294"/>
      <c r="E86" s="294"/>
      <c r="F86" s="292"/>
      <c r="G86" s="292"/>
      <c r="H86" s="293"/>
      <c r="I86" s="293"/>
      <c r="J86" s="156" t="s">
        <v>11</v>
      </c>
      <c r="K86" s="157" t="s">
        <v>12</v>
      </c>
      <c r="L86" s="157" t="s">
        <v>54</v>
      </c>
      <c r="M86" s="156" t="s">
        <v>11</v>
      </c>
      <c r="N86" s="157" t="s">
        <v>12</v>
      </c>
      <c r="O86" s="157" t="s">
        <v>54</v>
      </c>
      <c r="P86" s="156" t="s">
        <v>11</v>
      </c>
      <c r="Q86" s="157" t="s">
        <v>12</v>
      </c>
      <c r="R86" s="157" t="s">
        <v>54</v>
      </c>
      <c r="S86" s="156" t="s">
        <v>11</v>
      </c>
      <c r="T86" s="157" t="s">
        <v>12</v>
      </c>
      <c r="U86" s="157" t="s">
        <v>54</v>
      </c>
      <c r="V86" s="156" t="s">
        <v>11</v>
      </c>
      <c r="W86" s="157" t="s">
        <v>12</v>
      </c>
      <c r="X86" s="157" t="s">
        <v>54</v>
      </c>
      <c r="Y86" s="156" t="s">
        <v>11</v>
      </c>
      <c r="Z86" s="157" t="s">
        <v>12</v>
      </c>
      <c r="AA86" s="157" t="s">
        <v>16</v>
      </c>
      <c r="AB86" s="156" t="s">
        <v>11</v>
      </c>
      <c r="AC86" s="157" t="s">
        <v>12</v>
      </c>
      <c r="AD86" s="157" t="s">
        <v>16</v>
      </c>
      <c r="AE86" s="156" t="s">
        <v>11</v>
      </c>
      <c r="AF86" s="157" t="s">
        <v>12</v>
      </c>
      <c r="AG86" s="157" t="s">
        <v>16</v>
      </c>
      <c r="AH86" s="156" t="s">
        <v>11</v>
      </c>
      <c r="AI86" s="157" t="s">
        <v>12</v>
      </c>
      <c r="AJ86" s="157" t="s">
        <v>16</v>
      </c>
      <c r="AK86" s="156" t="s">
        <v>11</v>
      </c>
      <c r="AL86" s="157" t="s">
        <v>12</v>
      </c>
      <c r="AM86" s="157" t="s">
        <v>16</v>
      </c>
      <c r="AN86" s="157" t="s">
        <v>11</v>
      </c>
      <c r="AO86" s="157" t="s">
        <v>12</v>
      </c>
      <c r="AP86" s="157" t="s">
        <v>54</v>
      </c>
      <c r="AQ86" s="156" t="s">
        <v>11</v>
      </c>
      <c r="AR86" s="157" t="s">
        <v>12</v>
      </c>
      <c r="AS86" s="157" t="s">
        <v>47</v>
      </c>
      <c r="AT86" s="156" t="s">
        <v>11</v>
      </c>
      <c r="AU86" s="157" t="s">
        <v>12</v>
      </c>
      <c r="AV86" s="157" t="s">
        <v>50</v>
      </c>
      <c r="AW86" s="157" t="s">
        <v>51</v>
      </c>
      <c r="AX86" s="156" t="s">
        <v>11</v>
      </c>
      <c r="AY86" s="157" t="s">
        <v>12</v>
      </c>
      <c r="AZ86" s="157" t="s">
        <v>54</v>
      </c>
      <c r="BA86" s="158"/>
    </row>
    <row r="87" spans="2:61" ht="47.45" customHeight="1" x14ac:dyDescent="0.2">
      <c r="B87" s="201" t="s">
        <v>264</v>
      </c>
      <c r="C87" s="260" t="s">
        <v>273</v>
      </c>
      <c r="D87" s="261"/>
      <c r="E87" s="159"/>
      <c r="F87" s="61"/>
      <c r="G87" s="61"/>
      <c r="H87" s="66"/>
      <c r="I87" s="66"/>
      <c r="J87" s="65"/>
      <c r="K87" s="65"/>
      <c r="L87" s="63"/>
      <c r="M87" s="259"/>
      <c r="N87" s="259"/>
      <c r="O87" s="259"/>
      <c r="P87" s="65"/>
      <c r="Q87" s="63"/>
      <c r="R87" s="63"/>
      <c r="S87" s="259"/>
      <c r="T87" s="259"/>
      <c r="U87" s="259"/>
      <c r="V87" s="65"/>
      <c r="W87" s="63"/>
      <c r="X87" s="63"/>
      <c r="Y87" s="259"/>
      <c r="Z87" s="259"/>
      <c r="AA87" s="259"/>
      <c r="AB87" s="63"/>
      <c r="AC87" s="63"/>
      <c r="AD87" s="63"/>
      <c r="AE87" s="259"/>
      <c r="AF87" s="259"/>
      <c r="AG87" s="259"/>
      <c r="AH87" s="63"/>
      <c r="AI87" s="63"/>
      <c r="AJ87" s="63"/>
      <c r="AK87" s="259"/>
      <c r="AL87" s="259"/>
      <c r="AM87" s="259"/>
      <c r="AN87" s="63"/>
      <c r="AO87" s="63"/>
      <c r="AP87" s="63"/>
      <c r="AQ87" s="65"/>
      <c r="AR87" s="63"/>
      <c r="AS87" s="63"/>
      <c r="AT87" s="65"/>
      <c r="AU87" s="63"/>
      <c r="AV87" s="63"/>
      <c r="AW87" s="63"/>
      <c r="AX87" s="65"/>
      <c r="AY87" s="63"/>
      <c r="AZ87" s="63"/>
      <c r="BA87" s="64"/>
    </row>
    <row r="88" spans="2:61" ht="31.9" customHeight="1" x14ac:dyDescent="0.2">
      <c r="B88" s="208"/>
      <c r="C88" s="209" t="s">
        <v>56</v>
      </c>
      <c r="D88" s="229"/>
      <c r="E88" s="229"/>
      <c r="F88" s="230"/>
      <c r="G88" s="230"/>
      <c r="H88" s="230"/>
      <c r="I88" s="230"/>
      <c r="J88" s="234"/>
      <c r="K88" s="234"/>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234"/>
      <c r="AP88" s="234"/>
      <c r="AQ88" s="234"/>
      <c r="AR88" s="234"/>
      <c r="AS88" s="234"/>
      <c r="AT88" s="234"/>
      <c r="AU88" s="234"/>
      <c r="AV88" s="234"/>
      <c r="AW88" s="234"/>
      <c r="AX88" s="234"/>
      <c r="AY88" s="234"/>
      <c r="AZ88" s="234"/>
      <c r="BA88" s="236"/>
    </row>
    <row r="89" spans="2:61" ht="49.15" customHeight="1" x14ac:dyDescent="0.2">
      <c r="B89" s="39" t="s">
        <v>266</v>
      </c>
      <c r="C89" s="145" t="s">
        <v>268</v>
      </c>
      <c r="D89" s="34"/>
      <c r="E89" s="146" t="s">
        <v>285</v>
      </c>
      <c r="F89" s="241" t="s">
        <v>57</v>
      </c>
      <c r="G89" s="243" t="s">
        <v>265</v>
      </c>
      <c r="H89" s="217">
        <v>44197</v>
      </c>
      <c r="I89" s="216" t="s">
        <v>178</v>
      </c>
      <c r="J89" s="22">
        <f>'[1]Summary for IPSIS'!$H$52+'[1]Summary for IPSIS'!$I$52</f>
        <v>1718360</v>
      </c>
      <c r="K89" s="22">
        <f>'[1]Summary for IPSIS'!$J$52</f>
        <v>0</v>
      </c>
      <c r="L89" s="29">
        <f>SUM(J89:K89)</f>
        <v>1718360</v>
      </c>
      <c r="M89" s="22">
        <f>'[1]Summary for IPSIS'!$T$52+'[1]Summary for IPSIS'!$U$52</f>
        <v>677600</v>
      </c>
      <c r="N89" s="22">
        <v>0</v>
      </c>
      <c r="O89" s="29">
        <f>SUM(M89:N89)</f>
        <v>677600</v>
      </c>
      <c r="P89" s="25">
        <f>0</f>
        <v>0</v>
      </c>
      <c r="Q89" s="29">
        <f>'[2]Summary for IPSIS'!$AH$132</f>
        <v>0</v>
      </c>
      <c r="R89" s="29">
        <f>SUM(P89:Q89)</f>
        <v>0</v>
      </c>
      <c r="S89" s="25">
        <f>'[2]Summary for IPSIS'!$AR$132+'[2]Summary for IPSIS'!$AS$132</f>
        <v>0</v>
      </c>
      <c r="T89" s="29">
        <f>'[2]Summary for IPSIS'!$AT$132</f>
        <v>0</v>
      </c>
      <c r="U89" s="29">
        <f>SUM(S89:T89)</f>
        <v>0</v>
      </c>
      <c r="V89" s="25">
        <v>0</v>
      </c>
      <c r="W89" s="29">
        <v>0</v>
      </c>
      <c r="X89" s="29">
        <f>SUM(V89:W89)</f>
        <v>0</v>
      </c>
      <c r="Y89" s="29">
        <v>0</v>
      </c>
      <c r="Z89" s="29">
        <v>0</v>
      </c>
      <c r="AA89" s="29">
        <f>SUM(Y89:Z89)</f>
        <v>0</v>
      </c>
      <c r="AB89" s="29">
        <v>0</v>
      </c>
      <c r="AC89" s="29">
        <v>0</v>
      </c>
      <c r="AD89" s="29">
        <f>SUM(AB89:AC89)</f>
        <v>0</v>
      </c>
      <c r="AE89" s="29">
        <v>0</v>
      </c>
      <c r="AF89" s="29">
        <v>0</v>
      </c>
      <c r="AG89" s="29">
        <f>SUM(AE89:AF89)</f>
        <v>0</v>
      </c>
      <c r="AH89" s="29">
        <v>0</v>
      </c>
      <c r="AI89" s="29">
        <v>0</v>
      </c>
      <c r="AJ89" s="29">
        <f>SUM(AH89:AI89)</f>
        <v>0</v>
      </c>
      <c r="AK89" s="29">
        <v>0</v>
      </c>
      <c r="AL89" s="29">
        <v>0</v>
      </c>
      <c r="AM89" s="29">
        <f>SUM(AK89:AL89)</f>
        <v>0</v>
      </c>
      <c r="AN89" s="23">
        <f t="shared" ref="AN89:AO90" si="344">J89+M89+P89+S89+V89+Y89+AB89+AE89+AH89+AK89</f>
        <v>2395960</v>
      </c>
      <c r="AO89" s="23">
        <f t="shared" si="344"/>
        <v>0</v>
      </c>
      <c r="AP89" s="29">
        <f>SUM(AN89:AO89)</f>
        <v>2395960</v>
      </c>
      <c r="AQ89" s="25">
        <v>2395960</v>
      </c>
      <c r="AR89" s="29">
        <f>0</f>
        <v>0</v>
      </c>
      <c r="AS89" s="29">
        <f>SUM(AQ89:AR89)</f>
        <v>2395960</v>
      </c>
      <c r="AT89" s="25">
        <f>0</f>
        <v>0</v>
      </c>
      <c r="AU89" s="29">
        <f>0</f>
        <v>0</v>
      </c>
      <c r="AV89" s="29"/>
      <c r="AW89" s="29">
        <f>AT89+AU89</f>
        <v>0</v>
      </c>
      <c r="AX89" s="25">
        <f>0</f>
        <v>0</v>
      </c>
      <c r="AY89" s="29">
        <f>0</f>
        <v>0</v>
      </c>
      <c r="AZ89" s="29">
        <f>SUM(AX89:AY89)</f>
        <v>0</v>
      </c>
      <c r="BA89" s="161">
        <f t="shared" ref="BA89:BA90" si="345">SUM(AZ89+AW89+AS89)-AP89</f>
        <v>0</v>
      </c>
    </row>
    <row r="90" spans="2:61" ht="32.450000000000003" customHeight="1" thickBot="1" x14ac:dyDescent="0.25">
      <c r="B90" s="39" t="s">
        <v>267</v>
      </c>
      <c r="C90" s="145" t="s">
        <v>269</v>
      </c>
      <c r="D90" s="34"/>
      <c r="E90" s="154" t="s">
        <v>285</v>
      </c>
      <c r="F90" s="241" t="s">
        <v>57</v>
      </c>
      <c r="G90" s="243" t="s">
        <v>265</v>
      </c>
      <c r="H90" s="217">
        <v>44562</v>
      </c>
      <c r="I90" s="216" t="s">
        <v>178</v>
      </c>
      <c r="J90" s="22">
        <f>'[1]Summary for IPSIS'!$H$53+'[1]Summary for IPSIS'!$I$53</f>
        <v>0</v>
      </c>
      <c r="K90" s="22">
        <v>0</v>
      </c>
      <c r="L90" s="29">
        <f t="shared" ref="L90" si="346">SUM(J90:K90)</f>
        <v>0</v>
      </c>
      <c r="M90" s="22">
        <f>'[1]Summary for IPSIS'!$T$53+'[1]Summary for IPSIS'!$U$53</f>
        <v>4988592</v>
      </c>
      <c r="N90" s="22">
        <v>0</v>
      </c>
      <c r="O90" s="29">
        <f t="shared" ref="O90" si="347">SUM(M90:N90)</f>
        <v>4988592</v>
      </c>
      <c r="P90" s="25">
        <f>'[1]Summary for IPSIS'!$AF$53+'[1]Summary for IPSIS'!$AG$53</f>
        <v>4988592</v>
      </c>
      <c r="Q90" s="29">
        <f>'[2]Summary for IPSIS'!$AH$133</f>
        <v>0</v>
      </c>
      <c r="R90" s="29">
        <f t="shared" ref="R90" si="348">SUM(P90:Q90)</f>
        <v>4988592</v>
      </c>
      <c r="S90" s="25">
        <f>'[1]Summary for IPSIS'!$AR$53+'[1]Summary for IPSIS'!$AS$53</f>
        <v>4988592</v>
      </c>
      <c r="T90" s="29">
        <f>'[2]Summary for IPSIS'!$AT$133</f>
        <v>0</v>
      </c>
      <c r="U90" s="29">
        <f t="shared" ref="U90" si="349">SUM(S90:T90)</f>
        <v>4988592</v>
      </c>
      <c r="V90" s="25">
        <f>'[1]Summary for IPSIS'!$BD$53+'[1]Summary for IPSIS'!$BE$53</f>
        <v>4988592</v>
      </c>
      <c r="W90" s="29">
        <v>0</v>
      </c>
      <c r="X90" s="29">
        <f t="shared" ref="X90" si="350">SUM(V90:W90)</f>
        <v>4988592</v>
      </c>
      <c r="Y90" s="29">
        <v>4988592</v>
      </c>
      <c r="Z90" s="29">
        <v>0</v>
      </c>
      <c r="AA90" s="29">
        <f>SUM(Y90:Z90)</f>
        <v>4988592</v>
      </c>
      <c r="AB90" s="29">
        <v>4988592</v>
      </c>
      <c r="AC90" s="29">
        <v>0</v>
      </c>
      <c r="AD90" s="29">
        <f>SUM(AB90:AC90)</f>
        <v>4988592</v>
      </c>
      <c r="AE90" s="29">
        <v>4988592</v>
      </c>
      <c r="AF90" s="29">
        <v>0</v>
      </c>
      <c r="AG90" s="29">
        <f>SUM(AE90:AF90)</f>
        <v>4988592</v>
      </c>
      <c r="AH90" s="29">
        <v>4988592</v>
      </c>
      <c r="AI90" s="29">
        <v>0</v>
      </c>
      <c r="AJ90" s="29">
        <f>SUM(AH90:AI90)</f>
        <v>4988592</v>
      </c>
      <c r="AK90" s="29">
        <v>4988592</v>
      </c>
      <c r="AL90" s="29">
        <v>0</v>
      </c>
      <c r="AM90" s="29">
        <f>SUM(AK90:AL90)</f>
        <v>4988592</v>
      </c>
      <c r="AN90" s="23">
        <f t="shared" si="344"/>
        <v>44897328</v>
      </c>
      <c r="AO90" s="23">
        <f t="shared" si="344"/>
        <v>0</v>
      </c>
      <c r="AP90" s="29">
        <f t="shared" ref="AP90" si="351">SUM(AN90:AO90)</f>
        <v>44897328</v>
      </c>
      <c r="AQ90" s="25">
        <f>0</f>
        <v>0</v>
      </c>
      <c r="AR90" s="29">
        <f>0</f>
        <v>0</v>
      </c>
      <c r="AS90" s="29">
        <f t="shared" ref="AS90" si="352">SUM(AQ90:AR90)</f>
        <v>0</v>
      </c>
      <c r="AT90" s="25">
        <f>0</f>
        <v>0</v>
      </c>
      <c r="AU90" s="29">
        <f>0</f>
        <v>0</v>
      </c>
      <c r="AV90" s="29"/>
      <c r="AW90" s="29">
        <f t="shared" ref="AW90" si="353">AT90+AU90</f>
        <v>0</v>
      </c>
      <c r="AX90" s="25">
        <f>44897328</f>
        <v>44897328</v>
      </c>
      <c r="AY90" s="29">
        <f>0</f>
        <v>0</v>
      </c>
      <c r="AZ90" s="29">
        <f t="shared" ref="AZ90" si="354">SUM(AX90:AY90)</f>
        <v>44897328</v>
      </c>
      <c r="BA90" s="161">
        <f t="shared" si="345"/>
        <v>0</v>
      </c>
    </row>
    <row r="91" spans="2:61" s="6" customFormat="1" ht="22.9" customHeight="1" thickBot="1" x14ac:dyDescent="0.25">
      <c r="B91" s="46"/>
      <c r="C91" s="52" t="s">
        <v>270</v>
      </c>
      <c r="D91" s="53"/>
      <c r="E91" s="53"/>
      <c r="F91" s="242"/>
      <c r="G91" s="242"/>
      <c r="H91" s="44"/>
      <c r="I91" s="44"/>
      <c r="J91" s="45">
        <f t="shared" ref="J91:X91" si="355">SUM(J89:J90)</f>
        <v>1718360</v>
      </c>
      <c r="K91" s="45">
        <f t="shared" si="355"/>
        <v>0</v>
      </c>
      <c r="L91" s="45">
        <f t="shared" si="355"/>
        <v>1718360</v>
      </c>
      <c r="M91" s="45">
        <f t="shared" si="355"/>
        <v>5666192</v>
      </c>
      <c r="N91" s="45">
        <f t="shared" si="355"/>
        <v>0</v>
      </c>
      <c r="O91" s="45">
        <f t="shared" si="355"/>
        <v>5666192</v>
      </c>
      <c r="P91" s="45">
        <f t="shared" si="355"/>
        <v>4988592</v>
      </c>
      <c r="Q91" s="45">
        <f t="shared" si="355"/>
        <v>0</v>
      </c>
      <c r="R91" s="45">
        <f t="shared" si="355"/>
        <v>4988592</v>
      </c>
      <c r="S91" s="45">
        <f t="shared" si="355"/>
        <v>4988592</v>
      </c>
      <c r="T91" s="45">
        <f t="shared" si="355"/>
        <v>0</v>
      </c>
      <c r="U91" s="45">
        <f t="shared" si="355"/>
        <v>4988592</v>
      </c>
      <c r="V91" s="45">
        <f t="shared" si="355"/>
        <v>4988592</v>
      </c>
      <c r="W91" s="45">
        <f t="shared" si="355"/>
        <v>0</v>
      </c>
      <c r="X91" s="45">
        <f t="shared" si="355"/>
        <v>4988592</v>
      </c>
      <c r="Y91" s="45">
        <f t="shared" ref="Y91" si="356">SUM(Y89:Y90)</f>
        <v>4988592</v>
      </c>
      <c r="Z91" s="45">
        <f t="shared" ref="Z91" si="357">SUM(Z89:Z90)</f>
        <v>0</v>
      </c>
      <c r="AA91" s="45">
        <f t="shared" ref="AA91" si="358">SUM(AA89:AA90)</f>
        <v>4988592</v>
      </c>
      <c r="AB91" s="45"/>
      <c r="AC91" s="45"/>
      <c r="AD91" s="45"/>
      <c r="AE91" s="45"/>
      <c r="AF91" s="45"/>
      <c r="AG91" s="45"/>
      <c r="AH91" s="45"/>
      <c r="AI91" s="45"/>
      <c r="AJ91" s="45"/>
      <c r="AK91" s="45"/>
      <c r="AL91" s="45"/>
      <c r="AM91" s="45"/>
      <c r="AN91" s="45">
        <f t="shared" ref="AN91:AU91" si="359">SUM(AN89:AN90)</f>
        <v>47293288</v>
      </c>
      <c r="AO91" s="45">
        <f t="shared" si="359"/>
        <v>0</v>
      </c>
      <c r="AP91" s="45">
        <f t="shared" si="359"/>
        <v>47293288</v>
      </c>
      <c r="AQ91" s="45">
        <f t="shared" si="359"/>
        <v>2395960</v>
      </c>
      <c r="AR91" s="45">
        <f t="shared" si="359"/>
        <v>0</v>
      </c>
      <c r="AS91" s="45">
        <f t="shared" si="359"/>
        <v>2395960</v>
      </c>
      <c r="AT91" s="45">
        <f t="shared" si="359"/>
        <v>0</v>
      </c>
      <c r="AU91" s="45">
        <f t="shared" si="359"/>
        <v>0</v>
      </c>
      <c r="AV91" s="45"/>
      <c r="AW91" s="45">
        <f>SUM(AW89:AW90)</f>
        <v>0</v>
      </c>
      <c r="AX91" s="45">
        <f>SUM(AX89:AX90)</f>
        <v>44897328</v>
      </c>
      <c r="AY91" s="45">
        <f>SUM(AY89:AY90)</f>
        <v>0</v>
      </c>
      <c r="AZ91" s="45">
        <f>SUM(AZ89:AZ90)</f>
        <v>44897328</v>
      </c>
      <c r="BA91" s="165">
        <f>SUM(BA89:BA90)</f>
        <v>0</v>
      </c>
      <c r="BB91" s="26"/>
      <c r="BC91" s="26"/>
      <c r="BD91" s="26"/>
      <c r="BE91" s="26"/>
      <c r="BF91" s="26"/>
      <c r="BG91" s="26"/>
      <c r="BH91" s="26"/>
      <c r="BI91" s="26"/>
    </row>
    <row r="92" spans="2:61" ht="40.15" customHeight="1" x14ac:dyDescent="0.2">
      <c r="B92" s="201" t="s">
        <v>271</v>
      </c>
      <c r="C92" s="260" t="s">
        <v>272</v>
      </c>
      <c r="D92" s="261"/>
      <c r="E92" s="159"/>
      <c r="F92" s="61"/>
      <c r="G92" s="61"/>
      <c r="H92" s="66"/>
      <c r="I92" s="66"/>
      <c r="J92" s="65"/>
      <c r="K92" s="65"/>
      <c r="L92" s="63"/>
      <c r="M92" s="65"/>
      <c r="N92" s="65"/>
      <c r="O92" s="63"/>
      <c r="P92" s="65"/>
      <c r="Q92" s="63"/>
      <c r="R92" s="63"/>
      <c r="S92" s="65"/>
      <c r="T92" s="63"/>
      <c r="U92" s="63"/>
      <c r="V92" s="65"/>
      <c r="W92" s="63"/>
      <c r="X92" s="63"/>
      <c r="Y92" s="63"/>
      <c r="Z92" s="63"/>
      <c r="AA92" s="63"/>
      <c r="AB92" s="63"/>
      <c r="AC92" s="63"/>
      <c r="AD92" s="63"/>
      <c r="AE92" s="63"/>
      <c r="AF92" s="63"/>
      <c r="AG92" s="63"/>
      <c r="AH92" s="63"/>
      <c r="AI92" s="63"/>
      <c r="AJ92" s="63"/>
      <c r="AK92" s="63"/>
      <c r="AL92" s="63"/>
      <c r="AM92" s="63"/>
      <c r="AN92" s="63"/>
      <c r="AO92" s="63"/>
      <c r="AP92" s="63"/>
      <c r="AQ92" s="65"/>
      <c r="AR92" s="63"/>
      <c r="AS92" s="63"/>
      <c r="AT92" s="65"/>
      <c r="AU92" s="63"/>
      <c r="AV92" s="63"/>
      <c r="AW92" s="63"/>
      <c r="AX92" s="65"/>
      <c r="AY92" s="63"/>
      <c r="AZ92" s="63"/>
      <c r="BA92" s="64"/>
    </row>
    <row r="93" spans="2:61" ht="25.15" customHeight="1" x14ac:dyDescent="0.2">
      <c r="B93" s="208"/>
      <c r="C93" s="209" t="s">
        <v>56</v>
      </c>
      <c r="D93" s="229"/>
      <c r="E93" s="229"/>
      <c r="F93" s="230"/>
      <c r="G93" s="230"/>
      <c r="H93" s="230"/>
      <c r="I93" s="230"/>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4"/>
      <c r="AI93" s="234"/>
      <c r="AJ93" s="234"/>
      <c r="AK93" s="234"/>
      <c r="AL93" s="234"/>
      <c r="AM93" s="234"/>
      <c r="AN93" s="234"/>
      <c r="AO93" s="234"/>
      <c r="AP93" s="234"/>
      <c r="AQ93" s="234"/>
      <c r="AR93" s="234"/>
      <c r="AS93" s="234"/>
      <c r="AT93" s="234"/>
      <c r="AU93" s="234"/>
      <c r="AV93" s="234"/>
      <c r="AW93" s="234"/>
      <c r="AX93" s="234"/>
      <c r="AY93" s="234"/>
      <c r="AZ93" s="234"/>
      <c r="BA93" s="236"/>
    </row>
    <row r="94" spans="2:61" ht="28.15" customHeight="1" thickBot="1" x14ac:dyDescent="0.25">
      <c r="B94" s="36" t="s">
        <v>279</v>
      </c>
      <c r="C94" s="145" t="s">
        <v>274</v>
      </c>
      <c r="D94" s="34"/>
      <c r="E94" s="146" t="s">
        <v>275</v>
      </c>
      <c r="F94" s="141" t="s">
        <v>58</v>
      </c>
      <c r="G94" s="142" t="s">
        <v>277</v>
      </c>
      <c r="H94" s="217">
        <v>44562</v>
      </c>
      <c r="I94" s="216" t="s">
        <v>129</v>
      </c>
      <c r="J94" s="22">
        <v>0</v>
      </c>
      <c r="K94" s="22">
        <f>'[2]Summary for IPSIS'!$J$144</f>
        <v>0</v>
      </c>
      <c r="L94" s="29">
        <f>SUM(J94:K94)</f>
        <v>0</v>
      </c>
      <c r="M94" s="22">
        <f>'[1]Summary for IPSIS'!$T$55+'[1]Summary for IPSIS'!$U$55</f>
        <v>23256000</v>
      </c>
      <c r="N94" s="22">
        <f>'[2]Summary for IPSIS'!$V$144</f>
        <v>0</v>
      </c>
      <c r="O94" s="29">
        <f>SUM(M94:N94)</f>
        <v>23256000</v>
      </c>
      <c r="P94" s="25">
        <f>'[1]Summary for IPSIS'!$AF$55+'[1]Summary for IPSIS'!$AG$55</f>
        <v>3514291.2</v>
      </c>
      <c r="Q94" s="29">
        <f>'[2]Summary for IPSIS'!$AH$144</f>
        <v>0</v>
      </c>
      <c r="R94" s="29">
        <f>SUM(P94:Q94)</f>
        <v>3514291.2</v>
      </c>
      <c r="S94" s="25">
        <f>0</f>
        <v>0</v>
      </c>
      <c r="T94" s="29">
        <f>'[2]Summary for IPSIS'!$AT$144</f>
        <v>0</v>
      </c>
      <c r="U94" s="29">
        <f>SUM(S94:T94)</f>
        <v>0</v>
      </c>
      <c r="V94" s="25">
        <f>0</f>
        <v>0</v>
      </c>
      <c r="W94" s="29">
        <f>'[2]Summary for IPSIS'!$BF$144</f>
        <v>0</v>
      </c>
      <c r="X94" s="29">
        <f>SUM(V94:W94)</f>
        <v>0</v>
      </c>
      <c r="Y94" s="29">
        <v>0</v>
      </c>
      <c r="Z94" s="29">
        <v>0</v>
      </c>
      <c r="AA94" s="29">
        <f>SUM(Y94:Z94)</f>
        <v>0</v>
      </c>
      <c r="AB94" s="29">
        <v>0</v>
      </c>
      <c r="AC94" s="29">
        <v>0</v>
      </c>
      <c r="AD94" s="29">
        <f>SUM(AB94:AC94)</f>
        <v>0</v>
      </c>
      <c r="AE94" s="29">
        <v>0</v>
      </c>
      <c r="AF94" s="29">
        <v>0</v>
      </c>
      <c r="AG94" s="29">
        <f>SUM(AE94:AF94)</f>
        <v>0</v>
      </c>
      <c r="AH94" s="29">
        <v>0</v>
      </c>
      <c r="AI94" s="29">
        <v>0</v>
      </c>
      <c r="AJ94" s="29">
        <f>SUM(AH94:AI94)</f>
        <v>0</v>
      </c>
      <c r="AK94" s="29">
        <v>0</v>
      </c>
      <c r="AL94" s="29">
        <v>0</v>
      </c>
      <c r="AM94" s="29">
        <f>SUM(AK94:AL94)</f>
        <v>0</v>
      </c>
      <c r="AN94" s="23">
        <f t="shared" ref="AN94:AO94" si="360">J94+M94+P94+S94+V94+Y94+AB94+AE94+AH94+AK94</f>
        <v>26770291.199999999</v>
      </c>
      <c r="AO94" s="23">
        <f t="shared" si="360"/>
        <v>0</v>
      </c>
      <c r="AP94" s="29">
        <f>SUM(AN94:AO94)</f>
        <v>26770291.199999999</v>
      </c>
      <c r="AQ94" s="25">
        <v>0</v>
      </c>
      <c r="AR94" s="29">
        <f>0</f>
        <v>0</v>
      </c>
      <c r="AS94" s="29">
        <f>SUM(AQ94:AR94)</f>
        <v>0</v>
      </c>
      <c r="AT94" s="25">
        <f>0</f>
        <v>0</v>
      </c>
      <c r="AU94" s="29">
        <f>0</f>
        <v>0</v>
      </c>
      <c r="AV94" s="29"/>
      <c r="AW94" s="29">
        <f>SUM(AT94:AV94)</f>
        <v>0</v>
      </c>
      <c r="AX94" s="25">
        <v>0</v>
      </c>
      <c r="AY94" s="29">
        <f>0</f>
        <v>0</v>
      </c>
      <c r="AZ94" s="29">
        <f>SUM(AX94:AY94)</f>
        <v>0</v>
      </c>
      <c r="BA94" s="161">
        <f>SUM(AZ94+AW94+AS94)-AP94</f>
        <v>-26770291.199999999</v>
      </c>
      <c r="BB94" s="128"/>
    </row>
    <row r="95" spans="2:61" s="6" customFormat="1" ht="22.9" customHeight="1" thickBot="1" x14ac:dyDescent="0.25">
      <c r="B95" s="46"/>
      <c r="C95" s="52" t="s">
        <v>276</v>
      </c>
      <c r="D95" s="53"/>
      <c r="E95" s="53"/>
      <c r="F95" s="44"/>
      <c r="G95" s="44"/>
      <c r="H95" s="44"/>
      <c r="I95" s="44"/>
      <c r="J95" s="45">
        <f>SUM(J94)</f>
        <v>0</v>
      </c>
      <c r="K95" s="45">
        <f t="shared" ref="K95:BA95" si="361">SUM(K94)</f>
        <v>0</v>
      </c>
      <c r="L95" s="45">
        <f t="shared" si="361"/>
        <v>0</v>
      </c>
      <c r="M95" s="45">
        <f t="shared" si="361"/>
        <v>23256000</v>
      </c>
      <c r="N95" s="45">
        <f t="shared" si="361"/>
        <v>0</v>
      </c>
      <c r="O95" s="45">
        <f t="shared" si="361"/>
        <v>23256000</v>
      </c>
      <c r="P95" s="45">
        <f t="shared" si="361"/>
        <v>3514291.2</v>
      </c>
      <c r="Q95" s="45">
        <f t="shared" si="361"/>
        <v>0</v>
      </c>
      <c r="R95" s="45">
        <f t="shared" si="361"/>
        <v>3514291.2</v>
      </c>
      <c r="S95" s="45">
        <f t="shared" si="361"/>
        <v>0</v>
      </c>
      <c r="T95" s="45">
        <f t="shared" si="361"/>
        <v>0</v>
      </c>
      <c r="U95" s="45">
        <f t="shared" si="361"/>
        <v>0</v>
      </c>
      <c r="V95" s="45">
        <f t="shared" si="361"/>
        <v>0</v>
      </c>
      <c r="W95" s="45">
        <f t="shared" si="361"/>
        <v>0</v>
      </c>
      <c r="X95" s="45">
        <f t="shared" si="361"/>
        <v>0</v>
      </c>
      <c r="Y95" s="45">
        <f t="shared" si="361"/>
        <v>0</v>
      </c>
      <c r="Z95" s="45">
        <f t="shared" si="361"/>
        <v>0</v>
      </c>
      <c r="AA95" s="45">
        <f t="shared" si="361"/>
        <v>0</v>
      </c>
      <c r="AB95" s="45">
        <f t="shared" si="361"/>
        <v>0</v>
      </c>
      <c r="AC95" s="45">
        <f t="shared" si="361"/>
        <v>0</v>
      </c>
      <c r="AD95" s="45">
        <f t="shared" si="361"/>
        <v>0</v>
      </c>
      <c r="AE95" s="45">
        <f t="shared" si="361"/>
        <v>0</v>
      </c>
      <c r="AF95" s="45">
        <f t="shared" si="361"/>
        <v>0</v>
      </c>
      <c r="AG95" s="45">
        <f t="shared" si="361"/>
        <v>0</v>
      </c>
      <c r="AH95" s="45">
        <f t="shared" si="361"/>
        <v>0</v>
      </c>
      <c r="AI95" s="45">
        <f t="shared" si="361"/>
        <v>0</v>
      </c>
      <c r="AJ95" s="45">
        <f t="shared" si="361"/>
        <v>0</v>
      </c>
      <c r="AK95" s="45">
        <f t="shared" si="361"/>
        <v>0</v>
      </c>
      <c r="AL95" s="45">
        <f t="shared" si="361"/>
        <v>0</v>
      </c>
      <c r="AM95" s="45">
        <f t="shared" si="361"/>
        <v>0</v>
      </c>
      <c r="AN95" s="45">
        <f t="shared" si="361"/>
        <v>26770291.199999999</v>
      </c>
      <c r="AO95" s="45">
        <f t="shared" si="361"/>
        <v>0</v>
      </c>
      <c r="AP95" s="45">
        <f t="shared" si="361"/>
        <v>26770291.199999999</v>
      </c>
      <c r="AQ95" s="45">
        <f t="shared" si="361"/>
        <v>0</v>
      </c>
      <c r="AR95" s="45">
        <f t="shared" si="361"/>
        <v>0</v>
      </c>
      <c r="AS95" s="45">
        <f t="shared" si="361"/>
        <v>0</v>
      </c>
      <c r="AT95" s="45">
        <f t="shared" si="361"/>
        <v>0</v>
      </c>
      <c r="AU95" s="45">
        <f t="shared" si="361"/>
        <v>0</v>
      </c>
      <c r="AV95" s="45">
        <f t="shared" si="361"/>
        <v>0</v>
      </c>
      <c r="AW95" s="45">
        <f t="shared" si="361"/>
        <v>0</v>
      </c>
      <c r="AX95" s="45">
        <f t="shared" si="361"/>
        <v>0</v>
      </c>
      <c r="AY95" s="45">
        <f t="shared" si="361"/>
        <v>0</v>
      </c>
      <c r="AZ95" s="45">
        <f t="shared" si="361"/>
        <v>0</v>
      </c>
      <c r="BA95" s="45">
        <f t="shared" si="361"/>
        <v>-26770291.199999999</v>
      </c>
      <c r="BB95" s="26"/>
      <c r="BC95" s="26"/>
      <c r="BD95" s="26"/>
      <c r="BE95" s="26"/>
      <c r="BF95" s="26"/>
      <c r="BG95" s="26"/>
      <c r="BH95" s="26"/>
      <c r="BI95" s="26"/>
    </row>
    <row r="96" spans="2:61" ht="45" customHeight="1" x14ac:dyDescent="0.2">
      <c r="B96" s="201" t="s">
        <v>278</v>
      </c>
      <c r="C96" s="260" t="s">
        <v>281</v>
      </c>
      <c r="D96" s="261"/>
      <c r="E96" s="204"/>
      <c r="F96" s="61"/>
      <c r="G96" s="61"/>
      <c r="H96" s="66"/>
      <c r="I96" s="66"/>
      <c r="J96" s="65"/>
      <c r="K96" s="65"/>
      <c r="L96" s="63"/>
      <c r="M96" s="65"/>
      <c r="N96" s="65"/>
      <c r="O96" s="63"/>
      <c r="P96" s="65"/>
      <c r="Q96" s="63"/>
      <c r="R96" s="63"/>
      <c r="S96" s="65"/>
      <c r="T96" s="63"/>
      <c r="U96" s="63"/>
      <c r="V96" s="65"/>
      <c r="W96" s="63"/>
      <c r="X96" s="63"/>
      <c r="Y96" s="63"/>
      <c r="Z96" s="63"/>
      <c r="AA96" s="63"/>
      <c r="AB96" s="63"/>
      <c r="AC96" s="63"/>
      <c r="AD96" s="63"/>
      <c r="AE96" s="63"/>
      <c r="AF96" s="63"/>
      <c r="AG96" s="63"/>
      <c r="AH96" s="63"/>
      <c r="AI96" s="63"/>
      <c r="AJ96" s="63"/>
      <c r="AK96" s="63"/>
      <c r="AL96" s="63"/>
      <c r="AM96" s="63"/>
      <c r="AN96" s="63"/>
      <c r="AO96" s="63"/>
      <c r="AP96" s="63"/>
      <c r="AQ96" s="65"/>
      <c r="AR96" s="63"/>
      <c r="AS96" s="63"/>
      <c r="AT96" s="65"/>
      <c r="AU96" s="63"/>
      <c r="AV96" s="63"/>
      <c r="AW96" s="63"/>
      <c r="AX96" s="65"/>
      <c r="AY96" s="63"/>
      <c r="AZ96" s="63"/>
      <c r="BA96" s="64"/>
    </row>
    <row r="97" spans="2:61" ht="25.15" customHeight="1" x14ac:dyDescent="0.2">
      <c r="B97" s="208"/>
      <c r="C97" s="209" t="s">
        <v>56</v>
      </c>
      <c r="D97" s="229"/>
      <c r="E97" s="229"/>
      <c r="F97" s="230"/>
      <c r="G97" s="230"/>
      <c r="H97" s="230"/>
      <c r="I97" s="230"/>
      <c r="J97" s="234"/>
      <c r="K97" s="234"/>
      <c r="L97" s="234"/>
      <c r="M97" s="234"/>
      <c r="N97" s="234"/>
      <c r="O97" s="234"/>
      <c r="P97" s="234"/>
      <c r="Q97" s="234"/>
      <c r="R97" s="234"/>
      <c r="S97" s="234"/>
      <c r="T97" s="234"/>
      <c r="U97" s="234"/>
      <c r="V97" s="234"/>
      <c r="W97" s="234"/>
      <c r="X97" s="234"/>
      <c r="Y97" s="234"/>
      <c r="Z97" s="234"/>
      <c r="AA97" s="234"/>
      <c r="AB97" s="234"/>
      <c r="AC97" s="234"/>
      <c r="AD97" s="234"/>
      <c r="AE97" s="234"/>
      <c r="AF97" s="234"/>
      <c r="AG97" s="234"/>
      <c r="AH97" s="234"/>
      <c r="AI97" s="234"/>
      <c r="AJ97" s="234"/>
      <c r="AK97" s="234"/>
      <c r="AL97" s="234"/>
      <c r="AM97" s="234"/>
      <c r="AN97" s="234"/>
      <c r="AO97" s="234"/>
      <c r="AP97" s="234"/>
      <c r="AQ97" s="234"/>
      <c r="AR97" s="234"/>
      <c r="AS97" s="234"/>
      <c r="AT97" s="234"/>
      <c r="AU97" s="234"/>
      <c r="AV97" s="234"/>
      <c r="AW97" s="234"/>
      <c r="AX97" s="234"/>
      <c r="AY97" s="234"/>
      <c r="AZ97" s="234"/>
      <c r="BA97" s="236"/>
    </row>
    <row r="98" spans="2:61" ht="31.15" customHeight="1" thickBot="1" x14ac:dyDescent="0.25">
      <c r="B98" s="36" t="s">
        <v>280</v>
      </c>
      <c r="C98" s="145" t="s">
        <v>282</v>
      </c>
      <c r="D98" s="34"/>
      <c r="E98" s="146" t="s">
        <v>284</v>
      </c>
      <c r="F98" s="141" t="s">
        <v>192</v>
      </c>
      <c r="G98" s="142" t="s">
        <v>283</v>
      </c>
      <c r="H98" s="217">
        <v>44197</v>
      </c>
      <c r="I98" s="216" t="s">
        <v>129</v>
      </c>
      <c r="J98" s="22">
        <v>0</v>
      </c>
      <c r="K98" s="22">
        <f>'[2]Summary for IPSIS'!$J$148</f>
        <v>0</v>
      </c>
      <c r="L98" s="29">
        <f t="shared" ref="L98" si="362">SUM(J98:K98)</f>
        <v>0</v>
      </c>
      <c r="M98" s="22">
        <f>'[1]Summary for IPSIS'!$T$57+'[1]Summary for IPSIS'!$U$57</f>
        <v>4988592</v>
      </c>
      <c r="N98" s="22">
        <f>'[2]Summary for IPSIS'!$V$148</f>
        <v>0</v>
      </c>
      <c r="O98" s="29">
        <f t="shared" ref="O98" si="363">SUM(M98:N98)</f>
        <v>4988592</v>
      </c>
      <c r="P98" s="25">
        <f>'[1]Summary for IPSIS'!$AF$57+'[1]Summary for IPSIS'!$AG$57</f>
        <v>4988592</v>
      </c>
      <c r="Q98" s="29">
        <f>'[2]Summary for IPSIS'!$AH$148</f>
        <v>0</v>
      </c>
      <c r="R98" s="29">
        <f t="shared" ref="R98" si="364">SUM(P98:Q98)</f>
        <v>4988592</v>
      </c>
      <c r="S98" s="25">
        <f>'[1]Summary for IPSIS'!$AR$57+'[1]Summary for IPSIS'!$AS$57</f>
        <v>4988592</v>
      </c>
      <c r="T98" s="29">
        <f>'[2]Summary for IPSIS'!$AT$148</f>
        <v>0</v>
      </c>
      <c r="U98" s="29">
        <f t="shared" ref="U98" si="365">SUM(S98:T98)</f>
        <v>4988592</v>
      </c>
      <c r="V98" s="25">
        <f>'[1]Summary for IPSIS'!$BD$57+'[1]Summary for IPSIS'!$BE$57</f>
        <v>4988592</v>
      </c>
      <c r="W98" s="29">
        <f>'[2]Summary for IPSIS'!$BF$148</f>
        <v>0</v>
      </c>
      <c r="X98" s="29">
        <f t="shared" ref="X98" si="366">SUM(V98:W98)</f>
        <v>4988592</v>
      </c>
      <c r="Y98" s="29">
        <v>4988592</v>
      </c>
      <c r="Z98" s="29">
        <v>0</v>
      </c>
      <c r="AA98" s="29">
        <f>SUM(Y98:Z98)</f>
        <v>4988592</v>
      </c>
      <c r="AB98" s="29">
        <v>4988592</v>
      </c>
      <c r="AC98" s="29">
        <v>0</v>
      </c>
      <c r="AD98" s="29">
        <f>SUM(AB98:AC98)</f>
        <v>4988592</v>
      </c>
      <c r="AE98" s="29">
        <v>4988592</v>
      </c>
      <c r="AF98" s="29">
        <v>0</v>
      </c>
      <c r="AG98" s="29">
        <f>SUM(AE98:AF98)</f>
        <v>4988592</v>
      </c>
      <c r="AH98" s="29">
        <v>4988592</v>
      </c>
      <c r="AI98" s="29">
        <v>0</v>
      </c>
      <c r="AJ98" s="29">
        <f>SUM(AH98:AI98)</f>
        <v>4988592</v>
      </c>
      <c r="AK98" s="29">
        <v>4988592</v>
      </c>
      <c r="AL98" s="29">
        <v>0</v>
      </c>
      <c r="AM98" s="29">
        <f>SUM(AK98:AL98)</f>
        <v>4988592</v>
      </c>
      <c r="AN98" s="23">
        <f t="shared" ref="AN98:AO98" si="367">J98+M98+P98+S98+V98+Y98+AB98+AE98+AH98+AK98</f>
        <v>44897328</v>
      </c>
      <c r="AO98" s="23">
        <f t="shared" si="367"/>
        <v>0</v>
      </c>
      <c r="AP98" s="29">
        <f t="shared" ref="AP98" si="368">SUM(AN98:AO98)</f>
        <v>44897328</v>
      </c>
      <c r="AQ98" s="25">
        <v>4988592</v>
      </c>
      <c r="AR98" s="29">
        <f>0</f>
        <v>0</v>
      </c>
      <c r="AS98" s="29">
        <f t="shared" ref="AS98" si="369">SUM(AQ98:AR98)</f>
        <v>4988592</v>
      </c>
      <c r="AT98" s="25">
        <v>23256000</v>
      </c>
      <c r="AU98" s="29">
        <f>0</f>
        <v>0</v>
      </c>
      <c r="AV98" s="29"/>
      <c r="AW98" s="29">
        <f t="shared" ref="AW98" si="370">SUM(AT98:AV98)</f>
        <v>23256000</v>
      </c>
      <c r="AX98" s="25">
        <f>44897328-AS98</f>
        <v>39908736</v>
      </c>
      <c r="AY98" s="29">
        <f>0</f>
        <v>0</v>
      </c>
      <c r="AZ98" s="29">
        <f t="shared" ref="AZ98" si="371">SUM(AX98:AY98)</f>
        <v>39908736</v>
      </c>
      <c r="BA98" s="161">
        <f t="shared" ref="BA98" si="372">SUM(AZ98+AW98+AS98)-AP98</f>
        <v>23256000</v>
      </c>
    </row>
    <row r="99" spans="2:61" s="6" customFormat="1" ht="22.9" customHeight="1" thickBot="1" x14ac:dyDescent="0.25">
      <c r="B99" s="46"/>
      <c r="C99" s="52" t="s">
        <v>286</v>
      </c>
      <c r="D99" s="53"/>
      <c r="E99" s="53"/>
      <c r="F99" s="44"/>
      <c r="G99" s="44"/>
      <c r="H99" s="44"/>
      <c r="I99" s="44"/>
      <c r="J99" s="45">
        <f t="shared" ref="J99:X99" si="373">SUM(J94:J98)</f>
        <v>0</v>
      </c>
      <c r="K99" s="45">
        <f t="shared" si="373"/>
        <v>0</v>
      </c>
      <c r="L99" s="45">
        <f t="shared" si="373"/>
        <v>0</v>
      </c>
      <c r="M99" s="45">
        <f t="shared" si="373"/>
        <v>51500592</v>
      </c>
      <c r="N99" s="45">
        <f t="shared" si="373"/>
        <v>0</v>
      </c>
      <c r="O99" s="45">
        <f t="shared" si="373"/>
        <v>51500592</v>
      </c>
      <c r="P99" s="45">
        <f t="shared" si="373"/>
        <v>12017174.4</v>
      </c>
      <c r="Q99" s="45">
        <f t="shared" si="373"/>
        <v>0</v>
      </c>
      <c r="R99" s="45">
        <f t="shared" si="373"/>
        <v>12017174.4</v>
      </c>
      <c r="S99" s="45">
        <f t="shared" si="373"/>
        <v>4988592</v>
      </c>
      <c r="T99" s="45">
        <f t="shared" si="373"/>
        <v>0</v>
      </c>
      <c r="U99" s="45">
        <f t="shared" si="373"/>
        <v>4988592</v>
      </c>
      <c r="V99" s="45">
        <f t="shared" si="373"/>
        <v>4988592</v>
      </c>
      <c r="W99" s="45">
        <f t="shared" si="373"/>
        <v>0</v>
      </c>
      <c r="X99" s="45">
        <f t="shared" si="373"/>
        <v>4988592</v>
      </c>
      <c r="Y99" s="45">
        <f t="shared" ref="Y99" si="374">SUM(Y94:Y98)</f>
        <v>4988592</v>
      </c>
      <c r="Z99" s="45">
        <f t="shared" ref="Z99" si="375">SUM(Z94:Z98)</f>
        <v>0</v>
      </c>
      <c r="AA99" s="45">
        <f t="shared" ref="AA99" si="376">SUM(AA94:AA98)</f>
        <v>4988592</v>
      </c>
      <c r="AB99" s="45">
        <f t="shared" ref="AB99" si="377">SUM(AB94:AB98)</f>
        <v>4988592</v>
      </c>
      <c r="AC99" s="45">
        <f t="shared" ref="AC99" si="378">SUM(AC94:AC98)</f>
        <v>0</v>
      </c>
      <c r="AD99" s="45">
        <f t="shared" ref="AD99" si="379">SUM(AD94:AD98)</f>
        <v>4988592</v>
      </c>
      <c r="AE99" s="45">
        <f t="shared" ref="AE99" si="380">SUM(AE94:AE98)</f>
        <v>4988592</v>
      </c>
      <c r="AF99" s="45">
        <f t="shared" ref="AF99" si="381">SUM(AF94:AF98)</f>
        <v>0</v>
      </c>
      <c r="AG99" s="45">
        <f t="shared" ref="AG99" si="382">SUM(AG94:AG98)</f>
        <v>4988592</v>
      </c>
      <c r="AH99" s="45">
        <f t="shared" ref="AH99" si="383">SUM(AH94:AH98)</f>
        <v>4988592</v>
      </c>
      <c r="AI99" s="45">
        <f t="shared" ref="AI99" si="384">SUM(AI94:AI98)</f>
        <v>0</v>
      </c>
      <c r="AJ99" s="45">
        <f t="shared" ref="AJ99" si="385">SUM(AJ94:AJ98)</f>
        <v>4988592</v>
      </c>
      <c r="AK99" s="45">
        <f t="shared" ref="AK99" si="386">SUM(AK94:AK98)</f>
        <v>4988592</v>
      </c>
      <c r="AL99" s="45">
        <f t="shared" ref="AL99" si="387">SUM(AL94:AL98)</f>
        <v>0</v>
      </c>
      <c r="AM99" s="45">
        <f t="shared" ref="AM99" si="388">SUM(AM94:AM98)</f>
        <v>4988592</v>
      </c>
      <c r="AN99" s="45">
        <f t="shared" ref="AN99" si="389">SUM(AN94:AN98)</f>
        <v>98437910.400000006</v>
      </c>
      <c r="AO99" s="45">
        <f t="shared" ref="AO99" si="390">SUM(AO94:AO98)</f>
        <v>0</v>
      </c>
      <c r="AP99" s="45">
        <f t="shared" ref="AP99" si="391">SUM(AP94:AP98)</f>
        <v>98437910.400000006</v>
      </c>
      <c r="AQ99" s="45">
        <f t="shared" ref="AQ99" si="392">SUM(AQ94:AQ98)</f>
        <v>4988592</v>
      </c>
      <c r="AR99" s="45">
        <f t="shared" ref="AR99" si="393">SUM(AR94:AR98)</f>
        <v>0</v>
      </c>
      <c r="AS99" s="45">
        <f t="shared" ref="AS99" si="394">SUM(AS94:AS98)</f>
        <v>4988592</v>
      </c>
      <c r="AT99" s="45">
        <f t="shared" ref="AT99" si="395">SUM(AT94:AT98)</f>
        <v>23256000</v>
      </c>
      <c r="AU99" s="45">
        <f t="shared" ref="AU99" si="396">SUM(AU94:AU98)</f>
        <v>0</v>
      </c>
      <c r="AV99" s="45">
        <f t="shared" ref="AV99" si="397">SUM(AV94:AV98)</f>
        <v>0</v>
      </c>
      <c r="AW99" s="45">
        <f t="shared" ref="AW99" si="398">SUM(AW94:AW98)</f>
        <v>23256000</v>
      </c>
      <c r="AX99" s="45">
        <f t="shared" ref="AX99" si="399">SUM(AX94:AX98)</f>
        <v>39908736</v>
      </c>
      <c r="AY99" s="45">
        <f t="shared" ref="AY99" si="400">SUM(AY94:AY98)</f>
        <v>0</v>
      </c>
      <c r="AZ99" s="45">
        <f t="shared" ref="AZ99" si="401">SUM(AZ94:AZ98)</f>
        <v>39908736</v>
      </c>
      <c r="BA99" s="45">
        <f t="shared" ref="BA99" si="402">SUM(BA94:BA98)</f>
        <v>-30284582.399999999</v>
      </c>
      <c r="BB99" s="26"/>
      <c r="BC99" s="26"/>
      <c r="BD99" s="26"/>
      <c r="BE99" s="26"/>
      <c r="BF99" s="26"/>
      <c r="BG99" s="26"/>
      <c r="BH99" s="26"/>
      <c r="BI99" s="26"/>
    </row>
    <row r="100" spans="2:61" s="6" customFormat="1" ht="27.75" customHeight="1" thickBot="1" x14ac:dyDescent="0.25">
      <c r="B100" s="46"/>
      <c r="C100" s="301" t="s">
        <v>287</v>
      </c>
      <c r="D100" s="302"/>
      <c r="E100" s="144"/>
      <c r="F100" s="44"/>
      <c r="G100" s="44"/>
      <c r="H100" s="44"/>
      <c r="I100" s="44"/>
      <c r="J100" s="45">
        <f t="shared" ref="J100:X100" si="403">J91+J99</f>
        <v>1718360</v>
      </c>
      <c r="K100" s="45">
        <f t="shared" si="403"/>
        <v>0</v>
      </c>
      <c r="L100" s="45">
        <f t="shared" si="403"/>
        <v>1718360</v>
      </c>
      <c r="M100" s="45">
        <f t="shared" si="403"/>
        <v>57166784</v>
      </c>
      <c r="N100" s="45">
        <f t="shared" si="403"/>
        <v>0</v>
      </c>
      <c r="O100" s="45">
        <f t="shared" si="403"/>
        <v>57166784</v>
      </c>
      <c r="P100" s="45">
        <f t="shared" si="403"/>
        <v>17005766.399999999</v>
      </c>
      <c r="Q100" s="45">
        <f t="shared" si="403"/>
        <v>0</v>
      </c>
      <c r="R100" s="45">
        <f t="shared" si="403"/>
        <v>17005766.399999999</v>
      </c>
      <c r="S100" s="45">
        <f t="shared" si="403"/>
        <v>9977184</v>
      </c>
      <c r="T100" s="45">
        <f t="shared" si="403"/>
        <v>0</v>
      </c>
      <c r="U100" s="45">
        <f t="shared" si="403"/>
        <v>9977184</v>
      </c>
      <c r="V100" s="45">
        <f t="shared" si="403"/>
        <v>9977184</v>
      </c>
      <c r="W100" s="45">
        <f t="shared" si="403"/>
        <v>0</v>
      </c>
      <c r="X100" s="45">
        <f t="shared" si="403"/>
        <v>9977184</v>
      </c>
      <c r="Y100" s="45">
        <f t="shared" ref="Y100" si="404">Y91+Y99</f>
        <v>9977184</v>
      </c>
      <c r="Z100" s="45">
        <f t="shared" ref="Z100" si="405">Z91+Z99</f>
        <v>0</v>
      </c>
      <c r="AA100" s="45">
        <f t="shared" ref="AA100" si="406">AA91+AA99</f>
        <v>9977184</v>
      </c>
      <c r="AB100" s="45">
        <f t="shared" ref="AB100" si="407">AB91+AB99</f>
        <v>4988592</v>
      </c>
      <c r="AC100" s="45">
        <f t="shared" ref="AC100" si="408">AC91+AC99</f>
        <v>0</v>
      </c>
      <c r="AD100" s="45">
        <f t="shared" ref="AD100" si="409">AD91+AD99</f>
        <v>4988592</v>
      </c>
      <c r="AE100" s="45">
        <f t="shared" ref="AE100" si="410">AE91+AE99</f>
        <v>4988592</v>
      </c>
      <c r="AF100" s="45">
        <f t="shared" ref="AF100" si="411">AF91+AF99</f>
        <v>0</v>
      </c>
      <c r="AG100" s="45">
        <f t="shared" ref="AG100" si="412">AG91+AG99</f>
        <v>4988592</v>
      </c>
      <c r="AH100" s="45">
        <f t="shared" ref="AH100" si="413">AH91+AH99</f>
        <v>4988592</v>
      </c>
      <c r="AI100" s="45">
        <f t="shared" ref="AI100" si="414">AI91+AI99</f>
        <v>0</v>
      </c>
      <c r="AJ100" s="45">
        <f t="shared" ref="AJ100" si="415">AJ91+AJ99</f>
        <v>4988592</v>
      </c>
      <c r="AK100" s="45">
        <f t="shared" ref="AK100" si="416">AK91+AK99</f>
        <v>4988592</v>
      </c>
      <c r="AL100" s="45">
        <f t="shared" ref="AL100" si="417">AL91+AL99</f>
        <v>0</v>
      </c>
      <c r="AM100" s="45">
        <f t="shared" ref="AM100" si="418">AM91+AM99</f>
        <v>4988592</v>
      </c>
      <c r="AN100" s="45">
        <f t="shared" ref="AN100" si="419">AN91+AN99</f>
        <v>145731198.40000001</v>
      </c>
      <c r="AO100" s="45">
        <f t="shared" ref="AO100" si="420">AO91+AO99</f>
        <v>0</v>
      </c>
      <c r="AP100" s="45">
        <f t="shared" ref="AP100" si="421">AP91+AP99</f>
        <v>145731198.40000001</v>
      </c>
      <c r="AQ100" s="45">
        <f t="shared" ref="AQ100" si="422">AQ91+AQ99</f>
        <v>7384552</v>
      </c>
      <c r="AR100" s="45">
        <f t="shared" ref="AR100" si="423">AR91+AR99</f>
        <v>0</v>
      </c>
      <c r="AS100" s="45">
        <f t="shared" ref="AS100" si="424">AS91+AS99</f>
        <v>7384552</v>
      </c>
      <c r="AT100" s="45">
        <f t="shared" ref="AT100" si="425">AT91+AT99</f>
        <v>23256000</v>
      </c>
      <c r="AU100" s="45">
        <f t="shared" ref="AU100" si="426">AU91+AU99</f>
        <v>0</v>
      </c>
      <c r="AV100" s="45">
        <f t="shared" ref="AV100" si="427">AV91+AV99</f>
        <v>0</v>
      </c>
      <c r="AW100" s="45">
        <f t="shared" ref="AW100" si="428">AW91+AW99</f>
        <v>23256000</v>
      </c>
      <c r="AX100" s="45">
        <f t="shared" ref="AX100" si="429">AX91+AX99</f>
        <v>84806064</v>
      </c>
      <c r="AY100" s="45">
        <f t="shared" ref="AY100" si="430">AY91+AY99</f>
        <v>0</v>
      </c>
      <c r="AZ100" s="45">
        <f t="shared" ref="AZ100" si="431">AZ91+AZ99</f>
        <v>84806064</v>
      </c>
      <c r="BA100" s="45">
        <f t="shared" ref="BA100" si="432">BA91+BA99</f>
        <v>-30284582.399999999</v>
      </c>
      <c r="BB100" s="26"/>
      <c r="BC100" s="26"/>
      <c r="BD100" s="26"/>
      <c r="BE100" s="26"/>
      <c r="BF100" s="26"/>
      <c r="BG100" s="26"/>
      <c r="BH100" s="26"/>
      <c r="BI100" s="26"/>
    </row>
    <row r="101" spans="2:61" ht="34.15" customHeight="1" thickBot="1" x14ac:dyDescent="0.3">
      <c r="B101" s="172"/>
      <c r="C101" s="143" t="s">
        <v>288</v>
      </c>
      <c r="D101" s="173"/>
      <c r="E101" s="173"/>
      <c r="F101" s="174"/>
      <c r="G101" s="174"/>
      <c r="H101" s="174"/>
      <c r="I101" s="174"/>
      <c r="J101" s="175">
        <f>J28+J46+J81+J100</f>
        <v>94572794.400000006</v>
      </c>
      <c r="K101" s="175">
        <f t="shared" ref="K101:U101" si="433">K28+K46+K81+K100</f>
        <v>4025000</v>
      </c>
      <c r="L101" s="175">
        <f t="shared" si="433"/>
        <v>98597794.400000006</v>
      </c>
      <c r="M101" s="175">
        <f t="shared" si="433"/>
        <v>422147178.39999998</v>
      </c>
      <c r="N101" s="175">
        <f t="shared" si="433"/>
        <v>15180000</v>
      </c>
      <c r="O101" s="175">
        <f t="shared" si="433"/>
        <v>437327178.39999998</v>
      </c>
      <c r="P101" s="175">
        <f t="shared" si="433"/>
        <v>378936384</v>
      </c>
      <c r="Q101" s="175">
        <f t="shared" si="433"/>
        <v>35305000</v>
      </c>
      <c r="R101" s="175">
        <f t="shared" si="433"/>
        <v>414241384</v>
      </c>
      <c r="S101" s="175">
        <f t="shared" si="433"/>
        <v>383613571.19999999</v>
      </c>
      <c r="T101" s="175">
        <f t="shared" si="433"/>
        <v>107467500</v>
      </c>
      <c r="U101" s="175">
        <f t="shared" si="433"/>
        <v>491081071.19999999</v>
      </c>
      <c r="V101" s="175">
        <f t="shared" ref="V101" si="434">V28+V46+V81+V100</f>
        <v>390673169.59999996</v>
      </c>
      <c r="W101" s="175">
        <f t="shared" ref="W101" si="435">W28+W46+W81+W100</f>
        <v>99877500</v>
      </c>
      <c r="X101" s="175">
        <f t="shared" ref="X101" si="436">X28+X46+X81+X100</f>
        <v>490550669.59999996</v>
      </c>
      <c r="Y101" s="175">
        <f t="shared" ref="Y101" si="437">Y28+Y46+Y81+Y100</f>
        <v>153963420</v>
      </c>
      <c r="Z101" s="175">
        <f t="shared" ref="Z101" si="438">Z28+Z46+Z81+Z100</f>
        <v>82432000</v>
      </c>
      <c r="AA101" s="175">
        <f t="shared" ref="AA101" si="439">AA28+AA46+AA81+AA100</f>
        <v>236395420</v>
      </c>
      <c r="AB101" s="175">
        <f t="shared" ref="AB101" si="440">AB28+AB46+AB81+AB100</f>
        <v>158390748</v>
      </c>
      <c r="AC101" s="175">
        <f t="shared" ref="AC101" si="441">AC28+AC46+AC81+AC100</f>
        <v>81650000</v>
      </c>
      <c r="AD101" s="175">
        <f t="shared" ref="AD101" si="442">AD28+AD46+AD81+AD100</f>
        <v>240040748</v>
      </c>
      <c r="AE101" s="175">
        <f t="shared" ref="AE101" si="443">AE28+AE46+AE81+AE100</f>
        <v>146897628</v>
      </c>
      <c r="AF101" s="175">
        <f t="shared" ref="AF101" si="444">AF28+AF46+AF81+AF100</f>
        <v>81420000</v>
      </c>
      <c r="AG101" s="175">
        <f t="shared" ref="AG101" si="445">AG28+AG46+AG81+AG100</f>
        <v>228317628</v>
      </c>
      <c r="AH101" s="175">
        <f t="shared" ref="AH101" si="446">AH28+AH46+AH81+AH100</f>
        <v>137042508</v>
      </c>
      <c r="AI101" s="175">
        <f t="shared" ref="AI101" si="447">AI28+AI46+AI81+AI100</f>
        <v>80868000</v>
      </c>
      <c r="AJ101" s="175">
        <f t="shared" ref="AJ101" si="448">AJ28+AJ46+AJ81+AJ100</f>
        <v>217910508</v>
      </c>
      <c r="AK101" s="175">
        <f t="shared" ref="AK101" si="449">AK28+AK46+AK81+AK100</f>
        <v>139946508</v>
      </c>
      <c r="AL101" s="175">
        <f t="shared" ref="AL101" si="450">AL28+AL46+AL81+AL100</f>
        <v>80730000</v>
      </c>
      <c r="AM101" s="175">
        <f t="shared" ref="AM101" si="451">AM28+AM46+AM81+AM100</f>
        <v>220676508</v>
      </c>
      <c r="AN101" s="175">
        <f t="shared" ref="AN101" si="452">AN28+AN46+AN81+AN100</f>
        <v>2426138277.5999999</v>
      </c>
      <c r="AO101" s="175">
        <f t="shared" ref="AO101" si="453">AO28+AO46+AO81+AO100</f>
        <v>668955000</v>
      </c>
      <c r="AP101" s="175">
        <f t="shared" ref="AP101" si="454">AP28+AP46+AP81+AP100</f>
        <v>3095093277.6000004</v>
      </c>
      <c r="AQ101" s="175">
        <f t="shared" ref="AQ101" si="455">AQ28+AQ46+AQ81+AQ100</f>
        <v>360515602</v>
      </c>
      <c r="AR101" s="175">
        <f t="shared" ref="AR101" si="456">AR28+AR46+AR81+AR100</f>
        <v>19400000</v>
      </c>
      <c r="AS101" s="175">
        <f t="shared" ref="AS101" si="457">AS28+AS46+AS81+AS100</f>
        <v>379915602</v>
      </c>
      <c r="AT101" s="175">
        <f t="shared" ref="AT101" si="458">AT28+AT46+AT81+AT100</f>
        <v>826325530</v>
      </c>
      <c r="AU101" s="175">
        <f t="shared" ref="AU101" si="459">AU28+AU46+AU81+AU100</f>
        <v>201000000</v>
      </c>
      <c r="AV101" s="175">
        <f t="shared" ref="AV101" si="460">AV28+AV46+AV81+AV100</f>
        <v>0</v>
      </c>
      <c r="AW101" s="175">
        <f t="shared" ref="AW101" si="461">AW28+AW46+AW81+AW100</f>
        <v>1027325530</v>
      </c>
      <c r="AX101" s="175">
        <f t="shared" ref="AX101" si="462">AX28+AX46+AX81+AX100</f>
        <v>732124656</v>
      </c>
      <c r="AY101" s="175">
        <f t="shared" ref="AY101" si="463">AY28+AY46+AY81+AY100</f>
        <v>323712500</v>
      </c>
      <c r="AZ101" s="175">
        <f t="shared" ref="AZ101" si="464">AZ28+AZ46+AZ81+AZ100</f>
        <v>1055837156</v>
      </c>
      <c r="BA101" s="175">
        <f t="shared" ref="BA101" si="465">BA28+BA46+BA81+BA100</f>
        <v>-632014989.60000002</v>
      </c>
    </row>
  </sheetData>
  <mergeCells count="134">
    <mergeCell ref="C96:D96"/>
    <mergeCell ref="Y5:AA6"/>
    <mergeCell ref="AB5:AD6"/>
    <mergeCell ref="AE5:AG6"/>
    <mergeCell ref="AH5:AJ6"/>
    <mergeCell ref="AK5:AM6"/>
    <mergeCell ref="Y31:AA32"/>
    <mergeCell ref="AB31:AD32"/>
    <mergeCell ref="AE31:AG32"/>
    <mergeCell ref="AH31:AJ32"/>
    <mergeCell ref="AK31:AM32"/>
    <mergeCell ref="AE49:AG50"/>
    <mergeCell ref="AH49:AJ50"/>
    <mergeCell ref="AK49:AM50"/>
    <mergeCell ref="C34:D34"/>
    <mergeCell ref="B47:BA47"/>
    <mergeCell ref="J84:L85"/>
    <mergeCell ref="D84:D86"/>
    <mergeCell ref="F85:F86"/>
    <mergeCell ref="G85:G86"/>
    <mergeCell ref="H85:H86"/>
    <mergeCell ref="B84:B86"/>
    <mergeCell ref="C46:D46"/>
    <mergeCell ref="C81:D81"/>
    <mergeCell ref="M49:O50"/>
    <mergeCell ref="E50:E51"/>
    <mergeCell ref="E85:E86"/>
    <mergeCell ref="AX85:AZ85"/>
    <mergeCell ref="B48:BA48"/>
    <mergeCell ref="B3:BA3"/>
    <mergeCell ref="AQ84:AW84"/>
    <mergeCell ref="AQ85:AS85"/>
    <mergeCell ref="P84:R85"/>
    <mergeCell ref="Y84:AA85"/>
    <mergeCell ref="AB84:AD85"/>
    <mergeCell ref="AE84:AG85"/>
    <mergeCell ref="AH84:AJ85"/>
    <mergeCell ref="AK84:AM85"/>
    <mergeCell ref="V31:X32"/>
    <mergeCell ref="AN31:AP32"/>
    <mergeCell ref="AX31:AZ31"/>
    <mergeCell ref="E32:E33"/>
    <mergeCell ref="AX32:AZ32"/>
    <mergeCell ref="P49:R50"/>
    <mergeCell ref="S49:U50"/>
    <mergeCell ref="V49:X50"/>
    <mergeCell ref="AQ49:AW49"/>
    <mergeCell ref="S84:U85"/>
    <mergeCell ref="V84:X85"/>
    <mergeCell ref="AN84:AP85"/>
    <mergeCell ref="AX84:AZ84"/>
    <mergeCell ref="B49:B51"/>
    <mergeCell ref="B83:BA83"/>
    <mergeCell ref="C49:C51"/>
    <mergeCell ref="D49:D51"/>
    <mergeCell ref="M84:O85"/>
    <mergeCell ref="C84:C86"/>
    <mergeCell ref="H50:H51"/>
    <mergeCell ref="H49:I49"/>
    <mergeCell ref="AN49:AP50"/>
    <mergeCell ref="AX49:AZ49"/>
    <mergeCell ref="AX50:AZ50"/>
    <mergeCell ref="J49:L50"/>
    <mergeCell ref="Y49:AA50"/>
    <mergeCell ref="AB49:AD50"/>
    <mergeCell ref="C71:D71"/>
    <mergeCell ref="C76:D76"/>
    <mergeCell ref="BA5:BA6"/>
    <mergeCell ref="C8:D8"/>
    <mergeCell ref="C28:D28"/>
    <mergeCell ref="P31:R32"/>
    <mergeCell ref="S31:U32"/>
    <mergeCell ref="C100:D100"/>
    <mergeCell ref="F50:F51"/>
    <mergeCell ref="G50:G51"/>
    <mergeCell ref="F84:G84"/>
    <mergeCell ref="I85:I86"/>
    <mergeCell ref="B82:BA82"/>
    <mergeCell ref="C87:D87"/>
    <mergeCell ref="C92:D92"/>
    <mergeCell ref="H84:I84"/>
    <mergeCell ref="AT85:AW85"/>
    <mergeCell ref="I50:I51"/>
    <mergeCell ref="BA49:BA50"/>
    <mergeCell ref="C52:D52"/>
    <mergeCell ref="C58:D58"/>
    <mergeCell ref="C67:D67"/>
    <mergeCell ref="BA84:BA85"/>
    <mergeCell ref="AT50:AW50"/>
    <mergeCell ref="F49:G49"/>
    <mergeCell ref="AQ50:AS50"/>
    <mergeCell ref="AX6:AZ6"/>
    <mergeCell ref="AX5:AZ5"/>
    <mergeCell ref="G32:G33"/>
    <mergeCell ref="H32:H33"/>
    <mergeCell ref="B2:BA2"/>
    <mergeCell ref="B4:BA4"/>
    <mergeCell ref="H5:I5"/>
    <mergeCell ref="AQ32:AS32"/>
    <mergeCell ref="AT32:AW32"/>
    <mergeCell ref="M31:O32"/>
    <mergeCell ref="BA31:BA32"/>
    <mergeCell ref="F6:F7"/>
    <mergeCell ref="G6:G7"/>
    <mergeCell ref="H6:H7"/>
    <mergeCell ref="I6:I7"/>
    <mergeCell ref="D5:D7"/>
    <mergeCell ref="C5:C7"/>
    <mergeCell ref="C31:C33"/>
    <mergeCell ref="D31:D33"/>
    <mergeCell ref="I32:I33"/>
    <mergeCell ref="B29:BA29"/>
    <mergeCell ref="E6:E7"/>
    <mergeCell ref="B30:BA30"/>
    <mergeCell ref="AQ31:AW31"/>
    <mergeCell ref="C42:D42"/>
    <mergeCell ref="H31:I31"/>
    <mergeCell ref="C14:D14"/>
    <mergeCell ref="B5:B7"/>
    <mergeCell ref="B31:B33"/>
    <mergeCell ref="F5:G5"/>
    <mergeCell ref="AQ6:AS6"/>
    <mergeCell ref="F31:G31"/>
    <mergeCell ref="J5:L6"/>
    <mergeCell ref="S5:U6"/>
    <mergeCell ref="V5:X6"/>
    <mergeCell ref="AN5:AP6"/>
    <mergeCell ref="F32:F33"/>
    <mergeCell ref="M5:O6"/>
    <mergeCell ref="AQ5:AW5"/>
    <mergeCell ref="P5:R6"/>
    <mergeCell ref="AT6:AW6"/>
    <mergeCell ref="C21:D21"/>
    <mergeCell ref="J31:L32"/>
  </mergeCells>
  <phoneticPr fontId="7" type="noConversion"/>
  <pageMargins left="0.2" right="0.2" top="0.25" bottom="0.2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W61"/>
  <sheetViews>
    <sheetView tabSelected="1" topLeftCell="B4" zoomScale="50" zoomScaleNormal="50" workbookViewId="0">
      <pane ySplit="3" topLeftCell="A17" activePane="bottomLeft" state="frozen"/>
      <selection activeCell="A4" sqref="A4"/>
      <selection pane="bottomLeft" activeCell="G11" sqref="G11"/>
    </sheetView>
  </sheetViews>
  <sheetFormatPr defaultRowHeight="15" x14ac:dyDescent="0.25"/>
  <cols>
    <col min="2" max="2" width="56.7109375" customWidth="1"/>
    <col min="3" max="3" width="17.85546875" customWidth="1"/>
    <col min="4" max="4" width="19.28515625" customWidth="1"/>
    <col min="5" max="6" width="14.28515625" customWidth="1"/>
    <col min="7" max="7" width="23.7109375" style="31" customWidth="1"/>
    <col min="8" max="8" width="23.140625" style="31" customWidth="1"/>
    <col min="9" max="9" width="25.85546875" style="31" customWidth="1"/>
    <col min="10" max="10" width="23.7109375" style="31" customWidth="1"/>
    <col min="11" max="14" width="26.7109375" style="31" customWidth="1"/>
    <col min="15" max="18" width="25.5703125" style="31" customWidth="1"/>
    <col min="19" max="19" width="25.140625" style="31" customWidth="1"/>
    <col min="20" max="20" width="23" style="31" customWidth="1"/>
    <col min="21" max="21" width="23.28515625" hidden="1" customWidth="1"/>
    <col min="22" max="22" width="22.7109375" style="74" customWidth="1"/>
    <col min="23" max="23" width="34.85546875" style="74" customWidth="1"/>
  </cols>
  <sheetData>
    <row r="1" spans="2:21" ht="15.75" thickBot="1" x14ac:dyDescent="0.3"/>
    <row r="2" spans="2:21" ht="45" customHeight="1" thickBot="1" x14ac:dyDescent="0.35">
      <c r="B2" s="336" t="s">
        <v>15</v>
      </c>
      <c r="C2" s="337"/>
      <c r="D2" s="337"/>
      <c r="E2" s="337"/>
      <c r="F2" s="337"/>
      <c r="G2" s="337"/>
      <c r="H2" s="337"/>
      <c r="I2" s="337"/>
      <c r="J2" s="337"/>
      <c r="K2" s="337"/>
      <c r="L2" s="337"/>
      <c r="M2" s="337"/>
      <c r="N2" s="337"/>
      <c r="O2" s="337"/>
      <c r="P2" s="337"/>
      <c r="Q2" s="337"/>
      <c r="R2" s="337"/>
      <c r="S2" s="337"/>
      <c r="T2" s="338"/>
    </row>
    <row r="3" spans="2:21" ht="16.5" customHeight="1" thickBot="1" x14ac:dyDescent="0.3">
      <c r="B3" s="98" t="s">
        <v>60</v>
      </c>
      <c r="C3" s="342" t="s">
        <v>3</v>
      </c>
      <c r="D3" s="343"/>
      <c r="E3" s="334" t="s">
        <v>2</v>
      </c>
      <c r="F3" s="335"/>
      <c r="G3" s="99" t="s">
        <v>61</v>
      </c>
      <c r="H3" s="100"/>
      <c r="I3" s="101"/>
      <c r="J3" s="314" t="s">
        <v>21</v>
      </c>
      <c r="K3" s="315"/>
      <c r="L3" s="315"/>
      <c r="M3" s="315"/>
      <c r="N3" s="315"/>
      <c r="O3" s="315"/>
      <c r="P3" s="103"/>
      <c r="Q3" s="103"/>
      <c r="R3" s="103"/>
      <c r="S3" s="97" t="s">
        <v>20</v>
      </c>
      <c r="T3" s="32"/>
    </row>
    <row r="4" spans="2:21" ht="16.5" customHeight="1" thickBot="1" x14ac:dyDescent="0.3">
      <c r="B4" s="106"/>
      <c r="C4" s="107"/>
      <c r="D4" s="107"/>
      <c r="E4" s="108"/>
      <c r="F4" s="108"/>
      <c r="G4" s="109"/>
      <c r="H4" s="100"/>
      <c r="I4" s="100"/>
      <c r="J4" s="96"/>
      <c r="K4" s="96"/>
      <c r="L4" s="96"/>
      <c r="M4" s="96"/>
      <c r="N4" s="96"/>
      <c r="O4" s="96"/>
      <c r="P4" s="103"/>
      <c r="Q4" s="103"/>
      <c r="R4" s="103"/>
      <c r="S4" s="103"/>
      <c r="T4" s="110"/>
    </row>
    <row r="5" spans="2:21" ht="52.15" customHeight="1" thickBot="1" x14ac:dyDescent="0.3">
      <c r="B5" s="344" t="s">
        <v>324</v>
      </c>
      <c r="C5" s="345"/>
      <c r="D5" s="345"/>
      <c r="E5" s="345"/>
      <c r="F5" s="345"/>
      <c r="G5" s="345"/>
      <c r="H5" s="345"/>
      <c r="I5" s="345"/>
      <c r="J5" s="345"/>
      <c r="K5" s="345"/>
      <c r="L5" s="345"/>
      <c r="M5" s="345"/>
      <c r="N5" s="345"/>
      <c r="O5" s="345"/>
      <c r="P5" s="345"/>
      <c r="Q5" s="345"/>
      <c r="R5" s="345"/>
      <c r="S5" s="345"/>
      <c r="T5" s="346"/>
    </row>
    <row r="6" spans="2:21" ht="52.9" customHeight="1" thickBot="1" x14ac:dyDescent="0.3">
      <c r="B6" s="312" t="s">
        <v>60</v>
      </c>
      <c r="C6" s="313" t="s">
        <v>77</v>
      </c>
      <c r="D6" s="313"/>
      <c r="E6" s="313" t="s">
        <v>37</v>
      </c>
      <c r="F6" s="313"/>
      <c r="G6" s="328" t="s">
        <v>78</v>
      </c>
      <c r="H6" s="329"/>
      <c r="I6" s="330"/>
      <c r="J6" s="314" t="s">
        <v>64</v>
      </c>
      <c r="K6" s="315"/>
      <c r="L6" s="315"/>
      <c r="M6" s="315"/>
      <c r="N6" s="315"/>
      <c r="O6" s="315"/>
      <c r="P6" s="328" t="s">
        <v>294</v>
      </c>
      <c r="Q6" s="329"/>
      <c r="R6" s="330"/>
      <c r="S6" s="316" t="s">
        <v>289</v>
      </c>
      <c r="T6" s="323" t="s">
        <v>84</v>
      </c>
      <c r="U6" s="5"/>
    </row>
    <row r="7" spans="2:21" ht="37.9" customHeight="1" thickBot="1" x14ac:dyDescent="0.3">
      <c r="B7" s="312"/>
      <c r="C7" s="321" t="s">
        <v>35</v>
      </c>
      <c r="D7" s="321" t="s">
        <v>80</v>
      </c>
      <c r="E7" s="313" t="s">
        <v>38</v>
      </c>
      <c r="F7" s="313" t="s">
        <v>81</v>
      </c>
      <c r="G7" s="331"/>
      <c r="H7" s="332"/>
      <c r="I7" s="333"/>
      <c r="J7" s="314" t="s">
        <v>82</v>
      </c>
      <c r="K7" s="315"/>
      <c r="L7" s="347"/>
      <c r="M7" s="314" t="s">
        <v>83</v>
      </c>
      <c r="N7" s="348"/>
      <c r="O7" s="348"/>
      <c r="P7" s="325" t="s">
        <v>113</v>
      </c>
      <c r="Q7" s="326"/>
      <c r="R7" s="327"/>
      <c r="S7" s="317"/>
      <c r="T7" s="324"/>
      <c r="U7" s="5"/>
    </row>
    <row r="8" spans="2:21" ht="37.9" customHeight="1" thickBot="1" x14ac:dyDescent="0.3">
      <c r="B8" s="312"/>
      <c r="C8" s="322"/>
      <c r="D8" s="322"/>
      <c r="E8" s="313"/>
      <c r="F8" s="313"/>
      <c r="G8" s="181" t="s">
        <v>11</v>
      </c>
      <c r="H8" s="181" t="s">
        <v>12</v>
      </c>
      <c r="I8" s="181" t="s">
        <v>16</v>
      </c>
      <c r="J8" s="111" t="s">
        <v>11</v>
      </c>
      <c r="K8" s="102" t="s">
        <v>12</v>
      </c>
      <c r="L8" s="112" t="s">
        <v>13</v>
      </c>
      <c r="M8" s="135" t="s">
        <v>11</v>
      </c>
      <c r="N8" s="17" t="s">
        <v>12</v>
      </c>
      <c r="O8" s="18" t="s">
        <v>14</v>
      </c>
      <c r="P8" s="182" t="s">
        <v>11</v>
      </c>
      <c r="Q8" s="183" t="s">
        <v>12</v>
      </c>
      <c r="R8" s="184" t="s">
        <v>13</v>
      </c>
      <c r="S8" s="104"/>
      <c r="T8" s="105"/>
      <c r="U8" s="5"/>
    </row>
    <row r="9" spans="2:21" ht="94.9" customHeight="1" thickBot="1" x14ac:dyDescent="0.3">
      <c r="B9" s="246" t="s">
        <v>291</v>
      </c>
      <c r="C9" s="1" t="s">
        <v>132</v>
      </c>
      <c r="D9" s="1" t="s">
        <v>290</v>
      </c>
      <c r="E9" s="121">
        <v>2021</v>
      </c>
      <c r="F9" s="113">
        <v>2025</v>
      </c>
      <c r="G9" s="115">
        <f>'Kostimi i planit te veprimit'!AN13</f>
        <v>59118124.000000007</v>
      </c>
      <c r="H9" s="116">
        <f>'Kostimi i planit te veprimit'!AO13</f>
        <v>2070000</v>
      </c>
      <c r="I9" s="117">
        <f>SUM(G9:H9)</f>
        <v>61188124.000000007</v>
      </c>
      <c r="J9" s="115">
        <f>'Kostimi i planit te veprimit'!AQ13</f>
        <v>13092502</v>
      </c>
      <c r="K9" s="116">
        <f>'Kostimi i planit te veprimit'!AR13</f>
        <v>0</v>
      </c>
      <c r="L9" s="117">
        <f>J9+K9</f>
        <v>13092502</v>
      </c>
      <c r="M9" s="114">
        <f>'Kostimi i planit te veprimit'!AT13</f>
        <v>9660448</v>
      </c>
      <c r="N9" s="19">
        <f>'Kostimi i planit te veprimit'!AU13</f>
        <v>0</v>
      </c>
      <c r="O9" s="20">
        <f>M9+N9</f>
        <v>9660448</v>
      </c>
      <c r="P9" s="19">
        <f>'Kostimi i planit te veprimit'!AX13</f>
        <v>10247068</v>
      </c>
      <c r="Q9" s="19">
        <f>'Kostimi i planit te veprimit'!AY13</f>
        <v>517500</v>
      </c>
      <c r="R9" s="20">
        <f>P9+Q9</f>
        <v>10764568</v>
      </c>
      <c r="S9" s="120">
        <f>'Kostimi i planit te veprimit'!BA13</f>
        <v>-27670606.000000007</v>
      </c>
      <c r="T9" s="186">
        <f>I9/124</f>
        <v>493452.61290322588</v>
      </c>
      <c r="U9" s="3">
        <v>50000</v>
      </c>
    </row>
    <row r="10" spans="2:21" ht="100.9" customHeight="1" x14ac:dyDescent="0.25">
      <c r="B10" s="246" t="s">
        <v>295</v>
      </c>
      <c r="C10" s="1" t="s">
        <v>292</v>
      </c>
      <c r="D10" s="1" t="s">
        <v>293</v>
      </c>
      <c r="E10" s="121">
        <v>2021</v>
      </c>
      <c r="F10" s="113">
        <v>2025</v>
      </c>
      <c r="G10" s="118">
        <f>'Kostimi i planit te veprimit'!AN20</f>
        <v>69721866.400000006</v>
      </c>
      <c r="H10" s="19">
        <f>'Kostimi i planit te veprimit'!AO20</f>
        <v>17940000</v>
      </c>
      <c r="I10" s="117">
        <f>SUM(G10:H10)</f>
        <v>87661866.400000006</v>
      </c>
      <c r="J10" s="118">
        <f>'Kostimi i planit te veprimit'!AQ20</f>
        <v>8867936</v>
      </c>
      <c r="K10" s="19">
        <f>'Kostimi i planit te veprimit'!AR20</f>
        <v>6900000</v>
      </c>
      <c r="L10" s="119">
        <f t="shared" ref="L10:L11" si="0">J10+K10</f>
        <v>15767936</v>
      </c>
      <c r="M10" s="114">
        <f>'Kostimi i planit te veprimit'!AT20</f>
        <v>25865130</v>
      </c>
      <c r="N10" s="19">
        <f>'Kostimi i planit te veprimit'!AU20</f>
        <v>0</v>
      </c>
      <c r="O10" s="20">
        <f t="shared" ref="O10:O11" si="1">M10+N10</f>
        <v>25865130</v>
      </c>
      <c r="P10" s="19">
        <f>'Kostimi i planit te veprimit'!AX20</f>
        <v>5734792</v>
      </c>
      <c r="Q10" s="19">
        <f>'Kostimi i planit te veprimit'!AY20</f>
        <v>11040000</v>
      </c>
      <c r="R10" s="20">
        <f t="shared" ref="R10:R11" si="2">P10+Q10</f>
        <v>16774792</v>
      </c>
      <c r="S10" s="120">
        <f>'Kostimi i planit te veprimit'!BA20</f>
        <v>-29254008.399999999</v>
      </c>
      <c r="T10" s="186">
        <f>I10/124</f>
        <v>706950.535483871</v>
      </c>
      <c r="U10" s="3">
        <v>100000</v>
      </c>
    </row>
    <row r="11" spans="2:21" ht="58.9" customHeight="1" x14ac:dyDescent="0.25">
      <c r="B11" s="185" t="s">
        <v>296</v>
      </c>
      <c r="C11" s="1" t="s">
        <v>132</v>
      </c>
      <c r="D11" s="1" t="s">
        <v>128</v>
      </c>
      <c r="E11" s="121">
        <v>2022</v>
      </c>
      <c r="F11" s="113">
        <v>2025</v>
      </c>
      <c r="G11" s="118">
        <f>'Kostimi i planit te veprimit'!AN27</f>
        <v>523471176</v>
      </c>
      <c r="H11" s="19">
        <f>'Kostimi i planit te veprimit'!AO27</f>
        <v>0</v>
      </c>
      <c r="I11" s="119">
        <f>SUM(G11:H11)</f>
        <v>523471176</v>
      </c>
      <c r="J11" s="118">
        <f>'Kostimi i planit te veprimit'!AQ27</f>
        <v>209563784</v>
      </c>
      <c r="K11" s="19">
        <f>'Kostimi i planit te veprimit'!AR27</f>
        <v>0</v>
      </c>
      <c r="L11" s="119">
        <f t="shared" si="0"/>
        <v>209563784</v>
      </c>
      <c r="M11" s="114">
        <f>'Kostimi i planit te veprimit'!AT27</f>
        <v>126225728</v>
      </c>
      <c r="N11" s="19">
        <f>'Kostimi i planit te veprimit'!AU27</f>
        <v>0</v>
      </c>
      <c r="O11" s="20">
        <f t="shared" si="1"/>
        <v>126225728</v>
      </c>
      <c r="P11" s="20">
        <f>'Kostimi i planit te veprimit'!AX27</f>
        <v>172965920</v>
      </c>
      <c r="Q11" s="20">
        <f>'Kostimi i planit te veprimit'!AY27</f>
        <v>0</v>
      </c>
      <c r="R11" s="20">
        <f t="shared" si="2"/>
        <v>172965920</v>
      </c>
      <c r="S11" s="120">
        <f>'Kostimi i planit te veprimit'!BA27</f>
        <v>-14715744</v>
      </c>
      <c r="T11" s="186">
        <f>I11/124</f>
        <v>4221541.7419354841</v>
      </c>
      <c r="U11" s="3">
        <v>100000</v>
      </c>
    </row>
    <row r="12" spans="2:21" ht="36.6" customHeight="1" thickBot="1" x14ac:dyDescent="0.3">
      <c r="B12" s="187" t="s">
        <v>101</v>
      </c>
      <c r="C12" s="188"/>
      <c r="D12" s="188"/>
      <c r="E12" s="188"/>
      <c r="F12" s="189"/>
      <c r="G12" s="176">
        <f t="shared" ref="G12:T12" si="3">SUM(G9:G11)</f>
        <v>652311166.39999998</v>
      </c>
      <c r="H12" s="177">
        <f t="shared" si="3"/>
        <v>20010000</v>
      </c>
      <c r="I12" s="178">
        <f t="shared" si="3"/>
        <v>672321166.39999998</v>
      </c>
      <c r="J12" s="176">
        <f t="shared" si="3"/>
        <v>231524222</v>
      </c>
      <c r="K12" s="177">
        <f t="shared" si="3"/>
        <v>6900000</v>
      </c>
      <c r="L12" s="178">
        <f t="shared" si="3"/>
        <v>238424222</v>
      </c>
      <c r="M12" s="190">
        <f t="shared" si="3"/>
        <v>161751306</v>
      </c>
      <c r="N12" s="191">
        <f t="shared" si="3"/>
        <v>0</v>
      </c>
      <c r="O12" s="191">
        <f t="shared" si="3"/>
        <v>161751306</v>
      </c>
      <c r="P12" s="191">
        <f t="shared" ref="P12" si="4">SUM(P9:P11)</f>
        <v>188947780</v>
      </c>
      <c r="Q12" s="191">
        <f t="shared" ref="Q12" si="5">SUM(Q9:Q11)</f>
        <v>11557500</v>
      </c>
      <c r="R12" s="191">
        <f t="shared" ref="R12" si="6">SUM(R9:R11)</f>
        <v>200505280</v>
      </c>
      <c r="S12" s="192">
        <f t="shared" si="3"/>
        <v>-71640358.400000006</v>
      </c>
      <c r="T12" s="191">
        <f t="shared" si="3"/>
        <v>5421944.8903225809</v>
      </c>
      <c r="U12" s="4">
        <v>5250000</v>
      </c>
    </row>
    <row r="13" spans="2:21" ht="38.25" customHeight="1" thickBot="1" x14ac:dyDescent="0.3">
      <c r="B13" s="339" t="s">
        <v>297</v>
      </c>
      <c r="C13" s="340"/>
      <c r="D13" s="340"/>
      <c r="E13" s="340"/>
      <c r="F13" s="340"/>
      <c r="G13" s="340"/>
      <c r="H13" s="340"/>
      <c r="I13" s="340"/>
      <c r="J13" s="340"/>
      <c r="K13" s="340"/>
      <c r="L13" s="340"/>
      <c r="M13" s="340"/>
      <c r="N13" s="340"/>
      <c r="O13" s="340"/>
      <c r="P13" s="340"/>
      <c r="Q13" s="340"/>
      <c r="R13" s="340"/>
      <c r="S13" s="340"/>
      <c r="T13" s="341"/>
    </row>
    <row r="14" spans="2:21" ht="37.9" customHeight="1" thickBot="1" x14ac:dyDescent="0.3">
      <c r="B14" s="312" t="s">
        <v>60</v>
      </c>
      <c r="C14" s="313" t="s">
        <v>77</v>
      </c>
      <c r="D14" s="313"/>
      <c r="E14" s="313" t="s">
        <v>37</v>
      </c>
      <c r="F14" s="313"/>
      <c r="G14" s="328" t="s">
        <v>78</v>
      </c>
      <c r="H14" s="329"/>
      <c r="I14" s="330"/>
      <c r="J14" s="314" t="s">
        <v>64</v>
      </c>
      <c r="K14" s="315"/>
      <c r="L14" s="315"/>
      <c r="M14" s="315"/>
      <c r="N14" s="315"/>
      <c r="O14" s="315"/>
      <c r="P14" s="328" t="s">
        <v>52</v>
      </c>
      <c r="Q14" s="329"/>
      <c r="R14" s="330"/>
      <c r="S14" s="316" t="s">
        <v>79</v>
      </c>
      <c r="T14" s="323" t="s">
        <v>84</v>
      </c>
      <c r="U14" s="5"/>
    </row>
    <row r="15" spans="2:21" ht="37.9" customHeight="1" thickBot="1" x14ac:dyDescent="0.3">
      <c r="B15" s="312"/>
      <c r="C15" s="321" t="s">
        <v>35</v>
      </c>
      <c r="D15" s="321" t="s">
        <v>80</v>
      </c>
      <c r="E15" s="313" t="s">
        <v>38</v>
      </c>
      <c r="F15" s="313" t="s">
        <v>81</v>
      </c>
      <c r="G15" s="331"/>
      <c r="H15" s="332"/>
      <c r="I15" s="333"/>
      <c r="J15" s="314" t="s">
        <v>82</v>
      </c>
      <c r="K15" s="315"/>
      <c r="L15" s="347"/>
      <c r="M15" s="314" t="s">
        <v>83</v>
      </c>
      <c r="N15" s="348"/>
      <c r="O15" s="348"/>
      <c r="P15" s="325" t="s">
        <v>113</v>
      </c>
      <c r="Q15" s="326"/>
      <c r="R15" s="327"/>
      <c r="S15" s="317"/>
      <c r="T15" s="324"/>
      <c r="U15" s="5"/>
    </row>
    <row r="16" spans="2:21" ht="37.9" customHeight="1" thickBot="1" x14ac:dyDescent="0.3">
      <c r="B16" s="312"/>
      <c r="C16" s="322"/>
      <c r="D16" s="322"/>
      <c r="E16" s="313"/>
      <c r="F16" s="313"/>
      <c r="G16" s="181" t="s">
        <v>11</v>
      </c>
      <c r="H16" s="181" t="s">
        <v>12</v>
      </c>
      <c r="I16" s="181" t="s">
        <v>16</v>
      </c>
      <c r="J16" s="111" t="s">
        <v>11</v>
      </c>
      <c r="K16" s="102" t="s">
        <v>12</v>
      </c>
      <c r="L16" s="112" t="s">
        <v>13</v>
      </c>
      <c r="M16" s="135" t="s">
        <v>11</v>
      </c>
      <c r="N16" s="17" t="s">
        <v>12</v>
      </c>
      <c r="O16" s="18" t="s">
        <v>14</v>
      </c>
      <c r="P16" s="182" t="s">
        <v>11</v>
      </c>
      <c r="Q16" s="183" t="s">
        <v>12</v>
      </c>
      <c r="R16" s="184" t="s">
        <v>13</v>
      </c>
      <c r="S16" s="104"/>
      <c r="T16" s="105"/>
      <c r="U16" s="5"/>
    </row>
    <row r="17" spans="2:21" ht="126" customHeight="1" x14ac:dyDescent="0.25">
      <c r="B17" s="185" t="s">
        <v>298</v>
      </c>
      <c r="C17" s="1" t="s">
        <v>303</v>
      </c>
      <c r="D17" s="1" t="s">
        <v>304</v>
      </c>
      <c r="E17" s="121">
        <v>2021</v>
      </c>
      <c r="F17" s="121">
        <v>2030</v>
      </c>
      <c r="G17" s="19">
        <f>'Kostimi i planit te veprimit'!AN41</f>
        <v>75044832</v>
      </c>
      <c r="H17" s="19">
        <f>'Kostimi i planit te veprimit'!AO41</f>
        <v>0</v>
      </c>
      <c r="I17" s="20">
        <f>SUM(G17:H17)</f>
        <v>75044832</v>
      </c>
      <c r="J17" s="19">
        <f>'Kostimi i planit te veprimit'!AQ41</f>
        <v>16966320</v>
      </c>
      <c r="K17" s="19">
        <f>'Kostimi i planit te veprimit'!AR41</f>
        <v>0</v>
      </c>
      <c r="L17" s="20">
        <f>J17+K17</f>
        <v>16966320</v>
      </c>
      <c r="M17" s="19">
        <f>'Kostimi i planit te veprimit'!AT41</f>
        <v>12540000</v>
      </c>
      <c r="N17" s="19">
        <f>'Kostimi i planit te veprimit'!AU41</f>
        <v>0</v>
      </c>
      <c r="O17" s="20">
        <f>M17+N17</f>
        <v>12540000</v>
      </c>
      <c r="P17" s="19">
        <f>'Kostimi i planit te veprimit'!AX41</f>
        <v>11988480</v>
      </c>
      <c r="Q17" s="19">
        <f>'Kostimi i planit te veprimit'!AY41</f>
        <v>0</v>
      </c>
      <c r="R17" s="20">
        <f>P17+Q17</f>
        <v>11988480</v>
      </c>
      <c r="S17" s="120">
        <f>'Kostimi i planit te veprimit'!BA41</f>
        <v>-33550032</v>
      </c>
      <c r="T17" s="186">
        <f>I17/124</f>
        <v>605200.25806451612</v>
      </c>
      <c r="U17" s="3">
        <v>125900000</v>
      </c>
    </row>
    <row r="18" spans="2:21" ht="87.6" customHeight="1" x14ac:dyDescent="0.25">
      <c r="B18" s="185" t="s">
        <v>299</v>
      </c>
      <c r="C18" s="1" t="s">
        <v>192</v>
      </c>
      <c r="D18" s="9" t="s">
        <v>193</v>
      </c>
      <c r="E18" s="121">
        <v>2022</v>
      </c>
      <c r="F18" s="121">
        <v>2030</v>
      </c>
      <c r="G18" s="19">
        <f>'Kostimi i planit te veprimit'!AN45</f>
        <v>27333040</v>
      </c>
      <c r="H18" s="19">
        <f>'Kostimi i planit te veprimit'!AO44</f>
        <v>0</v>
      </c>
      <c r="I18" s="20">
        <f>SUM(G18:H18)</f>
        <v>27333040</v>
      </c>
      <c r="J18" s="19">
        <f>'Kostimi i planit te veprimit'!AQ45</f>
        <v>0</v>
      </c>
      <c r="K18" s="19">
        <f>'Kostimi i planit te veprimit'!AR46</f>
        <v>0</v>
      </c>
      <c r="L18" s="20">
        <f t="shared" ref="L18" si="7">J18+K18</f>
        <v>0</v>
      </c>
      <c r="M18" s="19">
        <f>'Kostimi i planit te veprimit'!AT44</f>
        <v>1900416</v>
      </c>
      <c r="N18" s="19">
        <f>'Kostimi i planit te veprimit'!AU44</f>
        <v>0</v>
      </c>
      <c r="O18" s="20">
        <f t="shared" ref="O18" si="8">M18+N18</f>
        <v>1900416</v>
      </c>
      <c r="P18" s="19">
        <f>'Kostimi i planit te veprimit'!AX45</f>
        <v>0</v>
      </c>
      <c r="Q18" s="19">
        <f>'Kostimi i planit te veprimit'!AY44</f>
        <v>0</v>
      </c>
      <c r="R18" s="20">
        <f t="shared" ref="R18" si="9">P18+Q18</f>
        <v>0</v>
      </c>
      <c r="S18" s="120">
        <f>'Kostimi i planit te veprimit'!BA45</f>
        <v>-25432624</v>
      </c>
      <c r="T18" s="186">
        <f>I18/124</f>
        <v>220427.74193548388</v>
      </c>
      <c r="U18" s="3">
        <v>525200000</v>
      </c>
    </row>
    <row r="19" spans="2:21" ht="41.45" customHeight="1" thickBot="1" x14ac:dyDescent="0.3">
      <c r="B19" s="193" t="s">
        <v>301</v>
      </c>
      <c r="C19" s="194"/>
      <c r="D19" s="194"/>
      <c r="E19" s="194"/>
      <c r="F19" s="194"/>
      <c r="G19" s="179">
        <f>SUM(G17:G18)</f>
        <v>102377872</v>
      </c>
      <c r="H19" s="179">
        <f t="shared" ref="H19:I19" si="10">SUM(H17:H18)</f>
        <v>0</v>
      </c>
      <c r="I19" s="179">
        <f t="shared" si="10"/>
        <v>102377872</v>
      </c>
      <c r="J19" s="179">
        <f t="shared" ref="J19:T19" si="11">SUM(J17:J18)</f>
        <v>16966320</v>
      </c>
      <c r="K19" s="179">
        <f t="shared" si="11"/>
        <v>0</v>
      </c>
      <c r="L19" s="179">
        <f t="shared" si="11"/>
        <v>16966320</v>
      </c>
      <c r="M19" s="179">
        <f t="shared" si="11"/>
        <v>14440416</v>
      </c>
      <c r="N19" s="179">
        <f t="shared" si="11"/>
        <v>0</v>
      </c>
      <c r="O19" s="179">
        <f t="shared" si="11"/>
        <v>14440416</v>
      </c>
      <c r="P19" s="179">
        <f t="shared" si="11"/>
        <v>11988480</v>
      </c>
      <c r="Q19" s="179">
        <f t="shared" si="11"/>
        <v>0</v>
      </c>
      <c r="R19" s="179">
        <f t="shared" si="11"/>
        <v>11988480</v>
      </c>
      <c r="S19" s="180">
        <f t="shared" si="11"/>
        <v>-58982656</v>
      </c>
      <c r="T19" s="179">
        <f t="shared" si="11"/>
        <v>825628</v>
      </c>
      <c r="U19" s="4">
        <v>1112820000</v>
      </c>
    </row>
    <row r="20" spans="2:21" ht="36" customHeight="1" thickBot="1" x14ac:dyDescent="0.3">
      <c r="B20" s="318" t="s">
        <v>300</v>
      </c>
      <c r="C20" s="319"/>
      <c r="D20" s="319"/>
      <c r="E20" s="319"/>
      <c r="F20" s="319"/>
      <c r="G20" s="319"/>
      <c r="H20" s="319"/>
      <c r="I20" s="319"/>
      <c r="J20" s="319"/>
      <c r="K20" s="319"/>
      <c r="L20" s="319"/>
      <c r="M20" s="319"/>
      <c r="N20" s="319"/>
      <c r="O20" s="319"/>
      <c r="P20" s="319"/>
      <c r="Q20" s="319"/>
      <c r="R20" s="319"/>
      <c r="S20" s="319"/>
      <c r="T20" s="320"/>
    </row>
    <row r="21" spans="2:21" ht="37.9" customHeight="1" thickBot="1" x14ac:dyDescent="0.3">
      <c r="B21" s="312" t="s">
        <v>60</v>
      </c>
      <c r="C21" s="313" t="s">
        <v>77</v>
      </c>
      <c r="D21" s="313"/>
      <c r="E21" s="313" t="s">
        <v>37</v>
      </c>
      <c r="F21" s="313"/>
      <c r="G21" s="328" t="s">
        <v>78</v>
      </c>
      <c r="H21" s="329"/>
      <c r="I21" s="330"/>
      <c r="J21" s="314" t="s">
        <v>64</v>
      </c>
      <c r="K21" s="315"/>
      <c r="L21" s="315"/>
      <c r="M21" s="315"/>
      <c r="N21" s="315"/>
      <c r="O21" s="315"/>
      <c r="P21" s="328" t="s">
        <v>52</v>
      </c>
      <c r="Q21" s="329"/>
      <c r="R21" s="330"/>
      <c r="S21" s="316" t="s">
        <v>79</v>
      </c>
      <c r="T21" s="323" t="s">
        <v>84</v>
      </c>
      <c r="U21" s="5"/>
    </row>
    <row r="22" spans="2:21" ht="37.9" customHeight="1" thickBot="1" x14ac:dyDescent="0.3">
      <c r="B22" s="312"/>
      <c r="C22" s="321" t="s">
        <v>35</v>
      </c>
      <c r="D22" s="321" t="s">
        <v>80</v>
      </c>
      <c r="E22" s="313" t="s">
        <v>38</v>
      </c>
      <c r="F22" s="313" t="s">
        <v>81</v>
      </c>
      <c r="G22" s="331"/>
      <c r="H22" s="332"/>
      <c r="I22" s="333"/>
      <c r="J22" s="314" t="s">
        <v>82</v>
      </c>
      <c r="K22" s="315"/>
      <c r="L22" s="347"/>
      <c r="M22" s="314" t="s">
        <v>83</v>
      </c>
      <c r="N22" s="348"/>
      <c r="O22" s="348"/>
      <c r="P22" s="325" t="s">
        <v>76</v>
      </c>
      <c r="Q22" s="326"/>
      <c r="R22" s="327"/>
      <c r="S22" s="317"/>
      <c r="T22" s="324"/>
      <c r="U22" s="5"/>
    </row>
    <row r="23" spans="2:21" ht="60.6" customHeight="1" thickBot="1" x14ac:dyDescent="0.3">
      <c r="B23" s="312"/>
      <c r="C23" s="322"/>
      <c r="D23" s="322"/>
      <c r="E23" s="313"/>
      <c r="F23" s="313"/>
      <c r="G23" s="181" t="s">
        <v>11</v>
      </c>
      <c r="H23" s="181" t="s">
        <v>12</v>
      </c>
      <c r="I23" s="181" t="s">
        <v>16</v>
      </c>
      <c r="J23" s="111" t="s">
        <v>11</v>
      </c>
      <c r="K23" s="102" t="s">
        <v>12</v>
      </c>
      <c r="L23" s="112" t="s">
        <v>13</v>
      </c>
      <c r="M23" s="135" t="s">
        <v>11</v>
      </c>
      <c r="N23" s="17" t="s">
        <v>12</v>
      </c>
      <c r="O23" s="18" t="s">
        <v>14</v>
      </c>
      <c r="P23" s="182" t="s">
        <v>11</v>
      </c>
      <c r="Q23" s="183" t="s">
        <v>12</v>
      </c>
      <c r="R23" s="184" t="s">
        <v>13</v>
      </c>
      <c r="S23" s="104"/>
      <c r="T23" s="105"/>
      <c r="U23" s="5"/>
    </row>
    <row r="24" spans="2:21" ht="93.6" customHeight="1" x14ac:dyDescent="0.25">
      <c r="B24" s="185" t="s">
        <v>305</v>
      </c>
      <c r="C24" s="196" t="s">
        <v>319</v>
      </c>
      <c r="D24" s="196" t="s">
        <v>320</v>
      </c>
      <c r="E24" s="121">
        <v>2021</v>
      </c>
      <c r="F24" s="121">
        <v>2030</v>
      </c>
      <c r="G24" s="19">
        <f>'Kostimi i planit te veprimit'!AN57</f>
        <v>124234976.00000001</v>
      </c>
      <c r="H24" s="19">
        <f>'Kostimi i planit te veprimit'!AO57</f>
        <v>242420000</v>
      </c>
      <c r="I24" s="20">
        <f>SUM(G24:H24)</f>
        <v>366654976</v>
      </c>
      <c r="J24" s="19">
        <f>'Kostimi i planit te veprimit'!AQ57</f>
        <v>15825776</v>
      </c>
      <c r="K24" s="19">
        <f>'Kostimi i planit te veprimit'!AR57</f>
        <v>11500000</v>
      </c>
      <c r="L24" s="20">
        <f>'Kostimi i planit te veprimit'!AS57</f>
        <v>27325776</v>
      </c>
      <c r="M24" s="19">
        <f>'Kostimi i planit te veprimit'!AT57</f>
        <v>34804800</v>
      </c>
      <c r="N24" s="19">
        <f>'Kostimi i planit te veprimit'!AU57</f>
        <v>0</v>
      </c>
      <c r="O24" s="20">
        <f>'Kostimi i planit te veprimit'!AW57</f>
        <v>34804800</v>
      </c>
      <c r="P24" s="19">
        <f>'Kostimi i planit te veprimit'!AW57</f>
        <v>34804800</v>
      </c>
      <c r="Q24" s="19">
        <f>'Kostimi i planit te veprimit'!AX57</f>
        <v>37154544</v>
      </c>
      <c r="R24" s="20">
        <f>SUM(P24:Q24)</f>
        <v>71959344</v>
      </c>
      <c r="S24" s="120">
        <f>'Kostimi i planit te veprimit'!BA57</f>
        <v>-37369856.000000015</v>
      </c>
      <c r="T24" s="186">
        <f t="shared" ref="T24:T28" si="12">I24/124</f>
        <v>2956894.9677419355</v>
      </c>
      <c r="U24" s="3">
        <v>529017000</v>
      </c>
    </row>
    <row r="25" spans="2:21" ht="93.6" customHeight="1" x14ac:dyDescent="0.25">
      <c r="B25" s="185" t="s">
        <v>306</v>
      </c>
      <c r="C25" s="196" t="s">
        <v>321</v>
      </c>
      <c r="D25" s="196" t="s">
        <v>230</v>
      </c>
      <c r="E25" s="121">
        <v>2021</v>
      </c>
      <c r="F25" s="121">
        <v>2030</v>
      </c>
      <c r="G25" s="19">
        <f>'Kostimi i planit te veprimit'!AN66</f>
        <v>1086967952</v>
      </c>
      <c r="H25" s="19">
        <f>'Kostimi i planit te veprimit'!AO66</f>
        <v>386400000</v>
      </c>
      <c r="I25" s="20">
        <f t="shared" ref="I25:I28" si="13">SUM(G25:H25)</f>
        <v>1473367952</v>
      </c>
      <c r="J25" s="19">
        <f>'Kostimi i planit te veprimit'!AQ66</f>
        <v>38897324</v>
      </c>
      <c r="K25" s="19">
        <f>'Kostimi i planit te veprimit'!AR66</f>
        <v>0</v>
      </c>
      <c r="L25" s="20">
        <f>'Kostimi i planit te veprimit'!AS66</f>
        <v>38897324</v>
      </c>
      <c r="M25" s="19">
        <f>'Kostimi i planit te veprimit'!AT66</f>
        <v>588353008</v>
      </c>
      <c r="N25" s="19">
        <f>'Kostimi i planit te veprimit'!AU66</f>
        <v>201000000</v>
      </c>
      <c r="O25" s="20">
        <f>SUM(M25:N25)</f>
        <v>789353008</v>
      </c>
      <c r="P25" s="19">
        <f>'Kostimi i planit te veprimit'!AX66</f>
        <v>361349316</v>
      </c>
      <c r="Q25" s="19">
        <f>'Kostimi i planit te veprimit'!AY66</f>
        <v>80155000</v>
      </c>
      <c r="R25" s="20">
        <f t="shared" ref="R25:R28" si="14">SUM(P25:Q25)</f>
        <v>441504316</v>
      </c>
      <c r="S25" s="120">
        <f>'Kostimi i planit te veprimit'!BA66</f>
        <v>-203613304</v>
      </c>
      <c r="T25" s="186">
        <f t="shared" si="12"/>
        <v>11881999.612903226</v>
      </c>
      <c r="U25" s="3" t="s">
        <v>6</v>
      </c>
    </row>
    <row r="26" spans="2:21" ht="83.45" customHeight="1" x14ac:dyDescent="0.25">
      <c r="B26" s="185" t="s">
        <v>307</v>
      </c>
      <c r="C26" s="2" t="s">
        <v>59</v>
      </c>
      <c r="D26" s="1" t="s">
        <v>239</v>
      </c>
      <c r="E26" s="121">
        <v>2021</v>
      </c>
      <c r="F26" s="121">
        <v>2025</v>
      </c>
      <c r="G26" s="19">
        <f>'Kostimi i planit te veprimit'!AN70</f>
        <v>42397368.799999997</v>
      </c>
      <c r="H26" s="19">
        <f>'Kostimi i planit te veprimit'!AO70</f>
        <v>0</v>
      </c>
      <c r="I26" s="20">
        <f t="shared" si="13"/>
        <v>42397368.799999997</v>
      </c>
      <c r="J26" s="19">
        <f>'Kostimi i planit te veprimit'!AQ70</f>
        <v>158368</v>
      </c>
      <c r="K26" s="19">
        <f>'Kostimi i planit te veprimit'!AR70</f>
        <v>0</v>
      </c>
      <c r="L26" s="20">
        <f>SUM(J26:K26)</f>
        <v>158368</v>
      </c>
      <c r="M26" s="19">
        <f>'Kostimi i planit te veprimit'!AT70</f>
        <v>0</v>
      </c>
      <c r="N26" s="19">
        <f>'Kostimi i planit te veprimit'!AU70</f>
        <v>0</v>
      </c>
      <c r="O26" s="20">
        <f>SUM(M26:N26)</f>
        <v>0</v>
      </c>
      <c r="P26" s="19">
        <f>'Kostimi i planit te veprimit'!AX70</f>
        <v>158368</v>
      </c>
      <c r="Q26" s="19">
        <f>'Kostimi i planit te veprimit'!AY70</f>
        <v>0</v>
      </c>
      <c r="R26" s="20">
        <f t="shared" si="14"/>
        <v>158368</v>
      </c>
      <c r="S26" s="120">
        <f>'Kostimi i planit te veprimit'!BA70</f>
        <v>-42080632.799999997</v>
      </c>
      <c r="T26" s="186">
        <f t="shared" si="12"/>
        <v>341914.26451612898</v>
      </c>
      <c r="U26" s="3">
        <v>0</v>
      </c>
    </row>
    <row r="27" spans="2:21" ht="84.6" customHeight="1" thickBot="1" x14ac:dyDescent="0.3">
      <c r="B27" s="252" t="s">
        <v>308</v>
      </c>
      <c r="C27" s="253" t="s">
        <v>250</v>
      </c>
      <c r="D27" s="254" t="s">
        <v>327</v>
      </c>
      <c r="E27" s="256">
        <v>2021</v>
      </c>
      <c r="F27" s="256">
        <v>2030</v>
      </c>
      <c r="G27" s="255">
        <f>'Kostimi i planit te veprimit'!AN75</f>
        <v>80520264</v>
      </c>
      <c r="H27" s="255">
        <f>'Kostimi i planit te veprimit'!AO75</f>
        <v>20125000</v>
      </c>
      <c r="I27" s="20">
        <f t="shared" si="13"/>
        <v>100645264</v>
      </c>
      <c r="J27" s="255">
        <f>'Kostimi i planit te veprimit'!AQ75</f>
        <v>9256424</v>
      </c>
      <c r="K27" s="255">
        <f>'Kostimi i planit te veprimit'!AR75</f>
        <v>1000000</v>
      </c>
      <c r="L27" s="20">
        <f t="shared" ref="L27:L28" si="15">SUM(J27:K27)</f>
        <v>10256424</v>
      </c>
      <c r="M27" s="255">
        <f>'Kostimi i planit te veprimit'!AT75</f>
        <v>3720000</v>
      </c>
      <c r="N27" s="19">
        <f>'Kostimi i planit te veprimit'!AU75</f>
        <v>0</v>
      </c>
      <c r="O27" s="20">
        <f t="shared" ref="O27:O28" si="16">SUM(M27:N27)</f>
        <v>3720000</v>
      </c>
      <c r="P27" s="19">
        <f>'Kostimi i planit te veprimit'!AX71</f>
        <v>0</v>
      </c>
      <c r="Q27" s="19">
        <f>'Kostimi i planit te veprimit'!AY75</f>
        <v>2000000</v>
      </c>
      <c r="R27" s="20">
        <f t="shared" si="14"/>
        <v>2000000</v>
      </c>
      <c r="S27" s="120">
        <f>'Kostimi i planit te veprimit'!BA75</f>
        <v>-70285200</v>
      </c>
      <c r="T27" s="186">
        <f t="shared" si="12"/>
        <v>811655.3548387097</v>
      </c>
      <c r="U27" s="3"/>
    </row>
    <row r="28" spans="2:21" ht="107.45" customHeight="1" thickBot="1" x14ac:dyDescent="0.3">
      <c r="B28" s="252" t="s">
        <v>309</v>
      </c>
      <c r="C28" s="253" t="s">
        <v>57</v>
      </c>
      <c r="D28" s="254" t="s">
        <v>259</v>
      </c>
      <c r="E28" s="256">
        <v>2021</v>
      </c>
      <c r="F28" s="256">
        <v>2025</v>
      </c>
      <c r="G28" s="255">
        <f>'Kostimi i planit te veprimit'!AN80</f>
        <v>191597480</v>
      </c>
      <c r="H28" s="255">
        <f>'Kostimi i planit te veprimit'!AO80</f>
        <v>0</v>
      </c>
      <c r="I28" s="20">
        <f t="shared" si="13"/>
        <v>191597480</v>
      </c>
      <c r="J28" s="255">
        <f>'Kostimi i planit te veprimit'!AQ80</f>
        <v>40502616</v>
      </c>
      <c r="K28" s="255">
        <f>'Kostimi i planit te veprimit'!AR80</f>
        <v>0</v>
      </c>
      <c r="L28" s="20">
        <f t="shared" si="15"/>
        <v>40502616</v>
      </c>
      <c r="M28" s="255">
        <f>'Kostimi i planit te veprimit'!AT80</f>
        <v>0</v>
      </c>
      <c r="N28" s="19">
        <f>'Kostimi i planit te veprimit'!AU80</f>
        <v>0</v>
      </c>
      <c r="O28" s="20">
        <f t="shared" si="16"/>
        <v>0</v>
      </c>
      <c r="P28" s="19">
        <f>'Kostimi i planit te veprimit'!AX80</f>
        <v>33336464</v>
      </c>
      <c r="Q28" s="19">
        <f>'Kostimi i planit te veprimit'!AY80</f>
        <v>0</v>
      </c>
      <c r="R28" s="20">
        <f t="shared" si="14"/>
        <v>33336464</v>
      </c>
      <c r="S28" s="120">
        <f>'Kostimi i planit te veprimit'!BA80</f>
        <v>-117758400</v>
      </c>
      <c r="T28" s="186">
        <f t="shared" si="12"/>
        <v>1545140.9677419355</v>
      </c>
      <c r="U28" s="3"/>
    </row>
    <row r="29" spans="2:21" ht="48.6" customHeight="1" thickBot="1" x14ac:dyDescent="0.3">
      <c r="B29" s="193" t="s">
        <v>310</v>
      </c>
      <c r="C29" s="194"/>
      <c r="D29" s="194"/>
      <c r="E29" s="256"/>
      <c r="F29" s="256"/>
      <c r="G29" s="179">
        <f>SUM(G24:G28)</f>
        <v>1525718040.8</v>
      </c>
      <c r="H29" s="179">
        <f t="shared" ref="H29:U29" si="17">SUM(H24:H28)</f>
        <v>648945000</v>
      </c>
      <c r="I29" s="179">
        <f t="shared" si="17"/>
        <v>2174663040.8000002</v>
      </c>
      <c r="J29" s="179">
        <f t="shared" si="17"/>
        <v>104640508</v>
      </c>
      <c r="K29" s="179">
        <f t="shared" si="17"/>
        <v>12500000</v>
      </c>
      <c r="L29" s="179">
        <f t="shared" si="17"/>
        <v>117140508</v>
      </c>
      <c r="M29" s="179">
        <f t="shared" si="17"/>
        <v>626877808</v>
      </c>
      <c r="N29" s="179">
        <f t="shared" si="17"/>
        <v>201000000</v>
      </c>
      <c r="O29" s="179">
        <f t="shared" si="17"/>
        <v>827877808</v>
      </c>
      <c r="P29" s="179">
        <f t="shared" si="17"/>
        <v>429648948</v>
      </c>
      <c r="Q29" s="179">
        <f t="shared" si="17"/>
        <v>119309544</v>
      </c>
      <c r="R29" s="179">
        <f t="shared" si="17"/>
        <v>548958492</v>
      </c>
      <c r="S29" s="179">
        <f t="shared" si="17"/>
        <v>-471107392.80000001</v>
      </c>
      <c r="T29" s="179">
        <f t="shared" si="17"/>
        <v>17537605.167741936</v>
      </c>
      <c r="U29" s="179">
        <f t="shared" si="17"/>
        <v>529017000</v>
      </c>
    </row>
    <row r="30" spans="2:21" ht="41.25" customHeight="1" thickBot="1" x14ac:dyDescent="0.3">
      <c r="B30" s="318" t="s">
        <v>263</v>
      </c>
      <c r="C30" s="319"/>
      <c r="D30" s="319"/>
      <c r="E30" s="319"/>
      <c r="F30" s="319"/>
      <c r="G30" s="319"/>
      <c r="H30" s="319"/>
      <c r="I30" s="319"/>
      <c r="J30" s="319"/>
      <c r="K30" s="319"/>
      <c r="L30" s="319"/>
      <c r="M30" s="319"/>
      <c r="N30" s="319"/>
      <c r="O30" s="319"/>
      <c r="P30" s="319"/>
      <c r="Q30" s="319"/>
      <c r="R30" s="319"/>
      <c r="S30" s="319"/>
      <c r="T30" s="320"/>
    </row>
    <row r="31" spans="2:21" ht="37.9" customHeight="1" thickBot="1" x14ac:dyDescent="0.3">
      <c r="B31" s="312" t="s">
        <v>60</v>
      </c>
      <c r="C31" s="313" t="s">
        <v>77</v>
      </c>
      <c r="D31" s="313"/>
      <c r="E31" s="313" t="s">
        <v>37</v>
      </c>
      <c r="F31" s="313"/>
      <c r="G31" s="328" t="s">
        <v>78</v>
      </c>
      <c r="H31" s="329"/>
      <c r="I31" s="330"/>
      <c r="J31" s="314" t="s">
        <v>64</v>
      </c>
      <c r="K31" s="315"/>
      <c r="L31" s="315"/>
      <c r="M31" s="315"/>
      <c r="N31" s="315"/>
      <c r="O31" s="315"/>
      <c r="P31" s="328" t="s">
        <v>52</v>
      </c>
      <c r="Q31" s="329"/>
      <c r="R31" s="330"/>
      <c r="S31" s="316" t="s">
        <v>79</v>
      </c>
      <c r="T31" s="323" t="s">
        <v>84</v>
      </c>
      <c r="U31" s="5"/>
    </row>
    <row r="32" spans="2:21" ht="37.9" customHeight="1" thickBot="1" x14ac:dyDescent="0.3">
      <c r="B32" s="312"/>
      <c r="C32" s="321" t="s">
        <v>35</v>
      </c>
      <c r="D32" s="321" t="s">
        <v>80</v>
      </c>
      <c r="E32" s="313" t="s">
        <v>38</v>
      </c>
      <c r="F32" s="313" t="s">
        <v>81</v>
      </c>
      <c r="G32" s="331"/>
      <c r="H32" s="332"/>
      <c r="I32" s="333"/>
      <c r="J32" s="349" t="s">
        <v>82</v>
      </c>
      <c r="K32" s="350"/>
      <c r="L32" s="351"/>
      <c r="M32" s="314" t="s">
        <v>83</v>
      </c>
      <c r="N32" s="348"/>
      <c r="O32" s="348"/>
      <c r="P32" s="325" t="s">
        <v>55</v>
      </c>
      <c r="Q32" s="326"/>
      <c r="R32" s="327"/>
      <c r="S32" s="317"/>
      <c r="T32" s="324"/>
      <c r="U32" s="5"/>
    </row>
    <row r="33" spans="2:21" ht="60.6" customHeight="1" thickBot="1" x14ac:dyDescent="0.3">
      <c r="B33" s="312"/>
      <c r="C33" s="322"/>
      <c r="D33" s="322"/>
      <c r="E33" s="313"/>
      <c r="F33" s="313"/>
      <c r="G33" s="183" t="s">
        <v>11</v>
      </c>
      <c r="H33" s="183" t="s">
        <v>12</v>
      </c>
      <c r="I33" s="182" t="s">
        <v>16</v>
      </c>
      <c r="J33" s="122" t="s">
        <v>11</v>
      </c>
      <c r="K33" s="122" t="s">
        <v>12</v>
      </c>
      <c r="L33" s="122" t="s">
        <v>13</v>
      </c>
      <c r="M33" s="136" t="s">
        <v>11</v>
      </c>
      <c r="N33" s="17" t="s">
        <v>12</v>
      </c>
      <c r="O33" s="18" t="s">
        <v>14</v>
      </c>
      <c r="P33" s="182" t="s">
        <v>11</v>
      </c>
      <c r="Q33" s="183" t="s">
        <v>12</v>
      </c>
      <c r="R33" s="184" t="s">
        <v>13</v>
      </c>
      <c r="S33" s="104"/>
      <c r="T33" s="105"/>
      <c r="U33" s="5"/>
    </row>
    <row r="34" spans="2:21" ht="57" customHeight="1" x14ac:dyDescent="0.25">
      <c r="B34" s="195" t="s">
        <v>314</v>
      </c>
      <c r="C34" s="2" t="s">
        <v>57</v>
      </c>
      <c r="D34" s="196" t="s">
        <v>265</v>
      </c>
      <c r="E34" s="121">
        <v>2021</v>
      </c>
      <c r="F34" s="121">
        <v>2030</v>
      </c>
      <c r="G34" s="255">
        <f>'Kostimi i planit te veprimit'!AN91</f>
        <v>47293288</v>
      </c>
      <c r="H34" s="255">
        <f>'Kostimi i planit te veprimit'!AO91</f>
        <v>0</v>
      </c>
      <c r="I34" s="129">
        <f>SUM(G34:H34)</f>
        <v>47293288</v>
      </c>
      <c r="J34" s="255">
        <f>'Kostimi i planit te veprimit'!AQ91</f>
        <v>2395960</v>
      </c>
      <c r="K34" s="255">
        <f>'Kostimi i planit te veprimit'!AR91</f>
        <v>0</v>
      </c>
      <c r="L34" s="20">
        <f>SUM(J34:K34)</f>
        <v>2395960</v>
      </c>
      <c r="M34" s="255">
        <f>'Kostimi i planit te veprimit'!AT91</f>
        <v>0</v>
      </c>
      <c r="N34" s="19">
        <f>'Kostimi i planit te veprimit'!AU91</f>
        <v>0</v>
      </c>
      <c r="O34" s="20">
        <f>SUM(M34:N34)</f>
        <v>0</v>
      </c>
      <c r="P34" s="19">
        <f>'Kostimi i planit te veprimit'!AX91</f>
        <v>44897328</v>
      </c>
      <c r="Q34" s="19">
        <f>'Kostimi i planit te veprimit'!AY91</f>
        <v>0</v>
      </c>
      <c r="R34" s="20">
        <f>SUM(P34:Q34)</f>
        <v>44897328</v>
      </c>
      <c r="S34" s="120">
        <f>'Kostimi i planit te veprimit'!BA91</f>
        <v>0</v>
      </c>
      <c r="T34" s="186">
        <f>I34/124</f>
        <v>381397.48387096776</v>
      </c>
      <c r="U34" s="3" t="s">
        <v>10</v>
      </c>
    </row>
    <row r="35" spans="2:21" ht="63" customHeight="1" x14ac:dyDescent="0.25">
      <c r="B35" s="257" t="s">
        <v>313</v>
      </c>
      <c r="C35" s="2" t="s">
        <v>58</v>
      </c>
      <c r="D35" s="196" t="s">
        <v>329</v>
      </c>
      <c r="E35" s="121">
        <v>2021</v>
      </c>
      <c r="F35" s="121">
        <v>2025</v>
      </c>
      <c r="G35" s="255">
        <f>'Kostimi i planit te veprimit'!AN95</f>
        <v>26770291.199999999</v>
      </c>
      <c r="H35" s="255">
        <f>'Kostimi i planit te veprimit'!AO95</f>
        <v>0</v>
      </c>
      <c r="I35" s="129">
        <f>SUM(G35:H35)</f>
        <v>26770291.199999999</v>
      </c>
      <c r="J35" s="255">
        <f>'Kostimi i planit te veprimit'!AQ95</f>
        <v>0</v>
      </c>
      <c r="K35" s="255">
        <f>'Kostimi i planit te veprimit'!AR95</f>
        <v>0</v>
      </c>
      <c r="L35" s="20">
        <f t="shared" ref="L35:L36" si="18">SUM(J35:K35)</f>
        <v>0</v>
      </c>
      <c r="M35" s="255">
        <f>'Kostimi i planit te veprimit'!AT95</f>
        <v>0</v>
      </c>
      <c r="N35" s="19">
        <f>'Kostimi i planit te veprimit'!AU95</f>
        <v>0</v>
      </c>
      <c r="O35" s="20">
        <f t="shared" ref="O35:O36" si="19">SUM(M35:N35)</f>
        <v>0</v>
      </c>
      <c r="P35" s="19">
        <f>'Kostimi i planit te veprimit'!AX95</f>
        <v>0</v>
      </c>
      <c r="Q35" s="19">
        <f>'Kostimi i planit te veprimit'!AY95</f>
        <v>0</v>
      </c>
      <c r="R35" s="20">
        <f>SUM(P35:Q35)</f>
        <v>0</v>
      </c>
      <c r="S35" s="120">
        <f>'Kostimi i planit te veprimit'!BA95</f>
        <v>-26770291.199999999</v>
      </c>
      <c r="T35" s="186">
        <f>I35/124</f>
        <v>215889.44516129032</v>
      </c>
      <c r="U35" s="3" t="s">
        <v>10</v>
      </c>
    </row>
    <row r="36" spans="2:21" ht="67.150000000000006" customHeight="1" x14ac:dyDescent="0.25">
      <c r="B36" s="195" t="s">
        <v>312</v>
      </c>
      <c r="C36" s="2" t="s">
        <v>192</v>
      </c>
      <c r="D36" s="196" t="s">
        <v>328</v>
      </c>
      <c r="E36" s="121">
        <v>2021</v>
      </c>
      <c r="F36" s="121">
        <v>2025</v>
      </c>
      <c r="G36" s="255">
        <f>'Kostimi i planit te veprimit'!AN100</f>
        <v>145731198.40000001</v>
      </c>
      <c r="H36" s="255">
        <f>'Kostimi i planit te veprimit'!AO100</f>
        <v>0</v>
      </c>
      <c r="I36" s="129">
        <f>SUM(G36:H36)</f>
        <v>145731198.40000001</v>
      </c>
      <c r="J36" s="255">
        <f>'Kostimi i planit te veprimit'!AQ100</f>
        <v>7384552</v>
      </c>
      <c r="K36" s="255">
        <f>'Kostimi i planit te veprimit'!AR100</f>
        <v>0</v>
      </c>
      <c r="L36" s="20">
        <f t="shared" si="18"/>
        <v>7384552</v>
      </c>
      <c r="M36" s="255">
        <f>'Kostimi i planit te veprimit'!AT100</f>
        <v>23256000</v>
      </c>
      <c r="N36" s="19">
        <f>'Kostimi i planit te veprimit'!AU100</f>
        <v>0</v>
      </c>
      <c r="O36" s="20">
        <f t="shared" si="19"/>
        <v>23256000</v>
      </c>
      <c r="P36" s="19">
        <f>'Kostimi i planit te veprimit'!AX100</f>
        <v>84806064</v>
      </c>
      <c r="Q36" s="19">
        <f>'Kostimi i planit te veprimit'!AY100</f>
        <v>0</v>
      </c>
      <c r="R36" s="20">
        <f>SUM(P36:Q36)</f>
        <v>84806064</v>
      </c>
      <c r="S36" s="120">
        <f>'Kostimi i planit te veprimit'!BA100</f>
        <v>-30284582.399999999</v>
      </c>
      <c r="T36" s="186">
        <f>I36/124</f>
        <v>1175251.6000000001</v>
      </c>
      <c r="U36" s="3" t="s">
        <v>10</v>
      </c>
    </row>
    <row r="37" spans="2:21" ht="34.15" customHeight="1" thickBot="1" x14ac:dyDescent="0.3">
      <c r="B37" s="193" t="s">
        <v>102</v>
      </c>
      <c r="C37" s="194"/>
      <c r="D37" s="194"/>
      <c r="E37" s="194"/>
      <c r="F37" s="194"/>
      <c r="G37" s="179">
        <f t="shared" ref="G37:T37" si="20">SUM(G34:G36)</f>
        <v>219794777.60000002</v>
      </c>
      <c r="H37" s="179">
        <f t="shared" si="20"/>
        <v>0</v>
      </c>
      <c r="I37" s="179">
        <f t="shared" si="20"/>
        <v>219794777.60000002</v>
      </c>
      <c r="J37" s="179">
        <f t="shared" si="20"/>
        <v>9780512</v>
      </c>
      <c r="K37" s="179">
        <f t="shared" si="20"/>
        <v>0</v>
      </c>
      <c r="L37" s="179">
        <f t="shared" si="20"/>
        <v>9780512</v>
      </c>
      <c r="M37" s="179">
        <f t="shared" si="20"/>
        <v>23256000</v>
      </c>
      <c r="N37" s="179">
        <f t="shared" si="20"/>
        <v>0</v>
      </c>
      <c r="O37" s="179">
        <f t="shared" si="20"/>
        <v>23256000</v>
      </c>
      <c r="P37" s="179">
        <f>SUM(P34:P36)</f>
        <v>129703392</v>
      </c>
      <c r="Q37" s="179">
        <f t="shared" ref="Q37:R37" si="21">SUM(Q34:Q36)</f>
        <v>0</v>
      </c>
      <c r="R37" s="179">
        <f t="shared" si="21"/>
        <v>129703392</v>
      </c>
      <c r="S37" s="180">
        <f t="shared" si="20"/>
        <v>-57054873.599999994</v>
      </c>
      <c r="T37" s="197">
        <f t="shared" si="20"/>
        <v>1772538.5290322583</v>
      </c>
      <c r="U37" s="4">
        <v>1500000</v>
      </c>
    </row>
    <row r="38" spans="2:21" ht="47.45" customHeight="1" x14ac:dyDescent="0.25">
      <c r="B38" s="352" t="s">
        <v>311</v>
      </c>
      <c r="C38" s="353"/>
      <c r="D38" s="353"/>
      <c r="E38" s="353"/>
      <c r="F38" s="354"/>
      <c r="G38" s="198">
        <f>G37+G29+G19+G12</f>
        <v>2500201856.8000002</v>
      </c>
      <c r="H38" s="198">
        <f t="shared" ref="H38:U38" si="22">H37+H29+H19+H12</f>
        <v>668955000</v>
      </c>
      <c r="I38" s="198">
        <f t="shared" si="22"/>
        <v>3169156856.8000002</v>
      </c>
      <c r="J38" s="198">
        <f t="shared" si="22"/>
        <v>362911562</v>
      </c>
      <c r="K38" s="198">
        <f t="shared" si="22"/>
        <v>19400000</v>
      </c>
      <c r="L38" s="198">
        <f t="shared" si="22"/>
        <v>382311562</v>
      </c>
      <c r="M38" s="198">
        <f t="shared" si="22"/>
        <v>826325530</v>
      </c>
      <c r="N38" s="198">
        <f t="shared" si="22"/>
        <v>201000000</v>
      </c>
      <c r="O38" s="198">
        <f t="shared" si="22"/>
        <v>1027325530</v>
      </c>
      <c r="P38" s="198">
        <f t="shared" si="22"/>
        <v>760288600</v>
      </c>
      <c r="Q38" s="198">
        <f t="shared" si="22"/>
        <v>130867044</v>
      </c>
      <c r="R38" s="198">
        <f t="shared" si="22"/>
        <v>891155644</v>
      </c>
      <c r="S38" s="198">
        <f t="shared" si="22"/>
        <v>-658785280.79999995</v>
      </c>
      <c r="T38" s="198">
        <f t="shared" si="22"/>
        <v>25557716.587096773</v>
      </c>
      <c r="U38" s="198">
        <f t="shared" si="22"/>
        <v>1648587000</v>
      </c>
    </row>
    <row r="41" spans="2:21" x14ac:dyDescent="0.25">
      <c r="P41" s="137"/>
    </row>
    <row r="43" spans="2:21" x14ac:dyDescent="0.25">
      <c r="P43" s="137"/>
    </row>
    <row r="45" spans="2:21" x14ac:dyDescent="0.25">
      <c r="J45" s="50"/>
      <c r="K45" s="50" t="s">
        <v>26</v>
      </c>
      <c r="L45" s="50" t="s">
        <v>27</v>
      </c>
      <c r="M45" s="50" t="s">
        <v>103</v>
      </c>
    </row>
    <row r="46" spans="2:21" x14ac:dyDescent="0.25">
      <c r="G46" s="48" t="s">
        <v>98</v>
      </c>
      <c r="H46" s="49">
        <f>I38</f>
        <v>3169156856.8000002</v>
      </c>
      <c r="J46" s="50" t="s">
        <v>22</v>
      </c>
      <c r="K46" s="50">
        <f>G12</f>
        <v>652311166.39999998</v>
      </c>
      <c r="L46" s="50">
        <f>H12</f>
        <v>20010000</v>
      </c>
      <c r="M46" s="199">
        <f>(K46+L46)/H46</f>
        <v>0.21214512148788506</v>
      </c>
    </row>
    <row r="47" spans="2:21" x14ac:dyDescent="0.25">
      <c r="G47" s="48" t="s">
        <v>94</v>
      </c>
      <c r="H47" s="49">
        <f>L38</f>
        <v>382311562</v>
      </c>
      <c r="I47" s="33"/>
      <c r="J47" s="50" t="s">
        <v>23</v>
      </c>
      <c r="K47" s="50">
        <f>G19</f>
        <v>102377872</v>
      </c>
      <c r="L47" s="50">
        <f>H19</f>
        <v>0</v>
      </c>
      <c r="M47" s="199">
        <f>(K47+L47)/H46</f>
        <v>3.2304450876367866E-2</v>
      </c>
    </row>
    <row r="48" spans="2:21" x14ac:dyDescent="0.25">
      <c r="G48" s="48" t="s">
        <v>96</v>
      </c>
      <c r="H48" s="49">
        <f>O38</f>
        <v>1027325530</v>
      </c>
      <c r="I48" s="33"/>
      <c r="J48" s="50" t="s">
        <v>24</v>
      </c>
      <c r="K48" s="50">
        <f>G29</f>
        <v>1525718040.8</v>
      </c>
      <c r="L48" s="50">
        <f>H29</f>
        <v>648945000</v>
      </c>
      <c r="M48" s="199">
        <f>(K48+L48)/H46</f>
        <v>0.68619608907456464</v>
      </c>
    </row>
    <row r="49" spans="7:13" x14ac:dyDescent="0.25">
      <c r="G49" s="48" t="s">
        <v>97</v>
      </c>
      <c r="H49" s="49">
        <f>R38</f>
        <v>891155644</v>
      </c>
      <c r="I49" s="33"/>
      <c r="J49" s="50" t="s">
        <v>25</v>
      </c>
      <c r="K49" s="50">
        <f>G37</f>
        <v>219794777.60000002</v>
      </c>
      <c r="L49" s="50">
        <f>H37</f>
        <v>0</v>
      </c>
      <c r="M49" s="199">
        <f>(K49+L49)/H46</f>
        <v>6.9354338561182449E-2</v>
      </c>
    </row>
    <row r="50" spans="7:13" ht="36" customHeight="1" x14ac:dyDescent="0.25">
      <c r="G50" s="48" t="s">
        <v>93</v>
      </c>
      <c r="H50" s="49">
        <f>S38</f>
        <v>-658785280.79999995</v>
      </c>
      <c r="I50" s="33"/>
      <c r="J50" s="50"/>
      <c r="K50" s="50"/>
      <c r="L50" s="50"/>
      <c r="M50" s="199"/>
    </row>
    <row r="57" spans="7:13" x14ac:dyDescent="0.25">
      <c r="G57" s="51" t="s">
        <v>17</v>
      </c>
      <c r="H57" s="51">
        <f>G38</f>
        <v>2500201856.8000002</v>
      </c>
      <c r="I57" s="33"/>
    </row>
    <row r="58" spans="7:13" x14ac:dyDescent="0.25">
      <c r="G58" s="51" t="s">
        <v>18</v>
      </c>
      <c r="H58" s="51">
        <f>H38</f>
        <v>668955000</v>
      </c>
      <c r="I58" s="33"/>
    </row>
    <row r="59" spans="7:13" x14ac:dyDescent="0.25">
      <c r="G59" s="51" t="s">
        <v>19</v>
      </c>
      <c r="H59" s="51">
        <f>I38</f>
        <v>3169156856.8000002</v>
      </c>
    </row>
    <row r="61" spans="7:13" x14ac:dyDescent="0.25">
      <c r="H61" s="42"/>
    </row>
  </sheetData>
  <mergeCells count="69">
    <mergeCell ref="B38:F38"/>
    <mergeCell ref="E22:E23"/>
    <mergeCell ref="F22:F23"/>
    <mergeCell ref="E32:E33"/>
    <mergeCell ref="F32:F33"/>
    <mergeCell ref="B31:B33"/>
    <mergeCell ref="B21:B23"/>
    <mergeCell ref="B30:T30"/>
    <mergeCell ref="T21:T22"/>
    <mergeCell ref="T31:T32"/>
    <mergeCell ref="P32:R32"/>
    <mergeCell ref="C31:D31"/>
    <mergeCell ref="E31:F31"/>
    <mergeCell ref="J31:O31"/>
    <mergeCell ref="S31:S32"/>
    <mergeCell ref="J32:L32"/>
    <mergeCell ref="M32:O32"/>
    <mergeCell ref="G31:I32"/>
    <mergeCell ref="C32:C33"/>
    <mergeCell ref="D32:D33"/>
    <mergeCell ref="P31:R31"/>
    <mergeCell ref="S21:S22"/>
    <mergeCell ref="J22:L22"/>
    <mergeCell ref="M22:O22"/>
    <mergeCell ref="P21:R21"/>
    <mergeCell ref="P14:R14"/>
    <mergeCell ref="C21:D21"/>
    <mergeCell ref="E21:F21"/>
    <mergeCell ref="J21:O21"/>
    <mergeCell ref="G21:I22"/>
    <mergeCell ref="C22:C23"/>
    <mergeCell ref="D22:D23"/>
    <mergeCell ref="C14:D14"/>
    <mergeCell ref="P22:R22"/>
    <mergeCell ref="B2:T2"/>
    <mergeCell ref="B13:T13"/>
    <mergeCell ref="C3:D3"/>
    <mergeCell ref="B6:B8"/>
    <mergeCell ref="B5:T5"/>
    <mergeCell ref="E7:E8"/>
    <mergeCell ref="F7:F8"/>
    <mergeCell ref="J7:L7"/>
    <mergeCell ref="M7:O7"/>
    <mergeCell ref="T6:T7"/>
    <mergeCell ref="P7:R7"/>
    <mergeCell ref="D7:D8"/>
    <mergeCell ref="E3:F3"/>
    <mergeCell ref="J3:O3"/>
    <mergeCell ref="C6:D6"/>
    <mergeCell ref="E6:F6"/>
    <mergeCell ref="G6:I7"/>
    <mergeCell ref="J6:O6"/>
    <mergeCell ref="S6:S7"/>
    <mergeCell ref="C7:C8"/>
    <mergeCell ref="P6:R6"/>
    <mergeCell ref="B14:B16"/>
    <mergeCell ref="E14:F14"/>
    <mergeCell ref="J14:O14"/>
    <mergeCell ref="S14:S15"/>
    <mergeCell ref="B20:T20"/>
    <mergeCell ref="D15:D16"/>
    <mergeCell ref="T14:T15"/>
    <mergeCell ref="E15:E16"/>
    <mergeCell ref="F15:F16"/>
    <mergeCell ref="P15:R15"/>
    <mergeCell ref="J15:L15"/>
    <mergeCell ref="M15:O15"/>
    <mergeCell ref="G14:I15"/>
    <mergeCell ref="C15:C16"/>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17"/>
  <sheetViews>
    <sheetView topLeftCell="A5" workbookViewId="0">
      <selection activeCell="A2" sqref="A2:F15"/>
    </sheetView>
  </sheetViews>
  <sheetFormatPr defaultRowHeight="15" x14ac:dyDescent="0.25"/>
  <cols>
    <col min="1" max="1" width="31.28515625" customWidth="1"/>
    <col min="2" max="2" width="12" customWidth="1"/>
    <col min="3" max="3" width="13.42578125" customWidth="1"/>
    <col min="4" max="4" width="16.140625" customWidth="1"/>
    <col min="5" max="5" width="15.140625" customWidth="1"/>
    <col min="6" max="6" width="12.42578125" customWidth="1"/>
    <col min="7" max="7" width="27.140625" customWidth="1"/>
  </cols>
  <sheetData>
    <row r="1" spans="1:7" ht="15.75" thickBot="1" x14ac:dyDescent="0.3">
      <c r="A1" s="365" t="s">
        <v>95</v>
      </c>
      <c r="B1" s="365"/>
      <c r="C1" s="365"/>
      <c r="D1" s="365"/>
      <c r="E1" s="365"/>
      <c r="F1" s="365"/>
    </row>
    <row r="2" spans="1:7" ht="24" x14ac:dyDescent="0.25">
      <c r="A2" s="366" t="s">
        <v>88</v>
      </c>
      <c r="B2" s="369" t="s">
        <v>87</v>
      </c>
      <c r="C2" s="126" t="s">
        <v>89</v>
      </c>
      <c r="D2" s="126" t="s">
        <v>92</v>
      </c>
      <c r="E2" s="126" t="s">
        <v>90</v>
      </c>
      <c r="F2" s="88" t="s">
        <v>86</v>
      </c>
    </row>
    <row r="3" spans="1:7" x14ac:dyDescent="0.25">
      <c r="A3" s="367"/>
      <c r="B3" s="370"/>
      <c r="C3" s="206" t="s">
        <v>316</v>
      </c>
      <c r="D3" s="123" t="s">
        <v>85</v>
      </c>
      <c r="E3" s="127" t="s">
        <v>91</v>
      </c>
      <c r="F3" s="89" t="s">
        <v>316</v>
      </c>
    </row>
    <row r="4" spans="1:7" ht="27.6" customHeight="1" thickBot="1" x14ac:dyDescent="0.3">
      <c r="A4" s="368"/>
      <c r="B4" s="371"/>
      <c r="C4" s="77"/>
      <c r="D4" s="78" t="s">
        <v>28</v>
      </c>
      <c r="E4" s="207" t="s">
        <v>315</v>
      </c>
      <c r="F4" s="90"/>
    </row>
    <row r="5" spans="1:7" ht="18" customHeight="1" thickBot="1" x14ac:dyDescent="0.3">
      <c r="A5" s="372" t="s">
        <v>322</v>
      </c>
      <c r="B5" s="79" t="s">
        <v>11</v>
      </c>
      <c r="C5" s="80">
        <f>'Totali_Qellimet politike'!G12</f>
        <v>652311166.39999998</v>
      </c>
      <c r="D5" s="80">
        <f>'Totali_Qellimet politike'!J12+'Totali_Qellimet politike'!M12</f>
        <v>393275528</v>
      </c>
      <c r="E5" s="133">
        <f>'Totali_Qellimet politike'!P12</f>
        <v>188947780</v>
      </c>
      <c r="F5" s="357">
        <f>(C5+C6)-(D5+D6)-(E5+E6)</f>
        <v>71640358.399999976</v>
      </c>
      <c r="G5" s="86"/>
    </row>
    <row r="6" spans="1:7" ht="34.9" customHeight="1" thickBot="1" x14ac:dyDescent="0.3">
      <c r="A6" s="356"/>
      <c r="B6" s="81" t="s">
        <v>12</v>
      </c>
      <c r="C6" s="82">
        <f>'Totali_Qellimet politike'!H12</f>
        <v>20010000</v>
      </c>
      <c r="D6" s="82">
        <f>'Totali_Qellimet politike'!K12+'Totali_Qellimet politike'!N12</f>
        <v>6900000</v>
      </c>
      <c r="E6" s="134">
        <f>'Totali_Qellimet politike'!Q12</f>
        <v>11557500</v>
      </c>
      <c r="F6" s="358"/>
      <c r="G6" s="85"/>
    </row>
    <row r="7" spans="1:7" ht="15.75" thickBot="1" x14ac:dyDescent="0.3">
      <c r="A7" s="355" t="s">
        <v>323</v>
      </c>
      <c r="B7" s="79" t="s">
        <v>11</v>
      </c>
      <c r="C7" s="80">
        <f>'Totali_Qellimet politike'!G19</f>
        <v>102377872</v>
      </c>
      <c r="D7" s="80">
        <f>'Totali_Qellimet politike'!J19+'Totali_Qellimet politike'!M19</f>
        <v>31406736</v>
      </c>
      <c r="E7" s="133">
        <f>'Totali_Qellimet politike'!P19</f>
        <v>11988480</v>
      </c>
      <c r="F7" s="357">
        <f>(C7+C8)-(D7+D8)-(E7+E8)</f>
        <v>58982656</v>
      </c>
      <c r="G7" s="86"/>
    </row>
    <row r="8" spans="1:7" ht="25.15" customHeight="1" thickBot="1" x14ac:dyDescent="0.3">
      <c r="A8" s="356"/>
      <c r="B8" s="81" t="s">
        <v>12</v>
      </c>
      <c r="C8" s="82">
        <f>'Totali_Qellimet politike'!H19</f>
        <v>0</v>
      </c>
      <c r="D8" s="82">
        <f>'Totali_Qellimet politike'!K19+'Totali_Qellimet politike'!N19</f>
        <v>0</v>
      </c>
      <c r="E8" s="134">
        <f>'Totali_Qellimet politike'!Q19</f>
        <v>0</v>
      </c>
      <c r="F8" s="358"/>
      <c r="G8" s="85"/>
    </row>
    <row r="9" spans="1:7" ht="15.75" thickBot="1" x14ac:dyDescent="0.3">
      <c r="A9" s="355" t="s">
        <v>325</v>
      </c>
      <c r="B9" s="79" t="s">
        <v>11</v>
      </c>
      <c r="C9" s="80">
        <f>'Totali_Qellimet politike'!G29</f>
        <v>1525718040.8</v>
      </c>
      <c r="D9" s="80">
        <f>'Totali_Qellimet politike'!J29+'Totali_Qellimet politike'!M29</f>
        <v>731518316</v>
      </c>
      <c r="E9" s="133">
        <f>'Totali_Qellimet politike'!P29</f>
        <v>429648948</v>
      </c>
      <c r="F9" s="357">
        <v>471107393</v>
      </c>
      <c r="G9" s="87"/>
    </row>
    <row r="10" spans="1:7" ht="15.75" thickBot="1" x14ac:dyDescent="0.3">
      <c r="A10" s="356"/>
      <c r="B10" s="81" t="s">
        <v>12</v>
      </c>
      <c r="C10" s="82">
        <f>'Totali_Qellimet politike'!H29</f>
        <v>648945000</v>
      </c>
      <c r="D10" s="82">
        <f>'Totali_Qellimet politike'!K29+'Totali_Qellimet politike'!N29</f>
        <v>213500000</v>
      </c>
      <c r="E10" s="134">
        <f>'Totali_Qellimet politike'!Q29</f>
        <v>119309544</v>
      </c>
      <c r="F10" s="358"/>
    </row>
    <row r="11" spans="1:7" ht="15.75" thickBot="1" x14ac:dyDescent="0.3">
      <c r="A11" s="355" t="s">
        <v>326</v>
      </c>
      <c r="B11" s="79" t="s">
        <v>11</v>
      </c>
      <c r="C11" s="80">
        <f>'Totali_Qellimet politike'!G37</f>
        <v>219794777.60000002</v>
      </c>
      <c r="D11" s="80">
        <f>'Totali_Qellimet politike'!J37+'Totali_Qellimet politike'!M37</f>
        <v>33036512</v>
      </c>
      <c r="E11" s="133">
        <f>'Totali_Qellimet politike'!P37</f>
        <v>129703392</v>
      </c>
      <c r="F11" s="357">
        <f>(C11+C12)-(D11+D12)-(E11+E12)</f>
        <v>57054873.600000024</v>
      </c>
    </row>
    <row r="12" spans="1:7" ht="15.75" thickBot="1" x14ac:dyDescent="0.3">
      <c r="A12" s="356"/>
      <c r="B12" s="81" t="s">
        <v>12</v>
      </c>
      <c r="C12" s="82">
        <f>'Totali_Qellimet politike'!H37</f>
        <v>0</v>
      </c>
      <c r="D12" s="82">
        <f>'Totali_Qellimet politike'!K37+'Totali_Qellimet politike'!N37</f>
        <v>0</v>
      </c>
      <c r="E12" s="134">
        <f>'Totali_Qellimet politike'!Q37</f>
        <v>0</v>
      </c>
      <c r="F12" s="358"/>
    </row>
    <row r="13" spans="1:7" ht="15.75" thickBot="1" x14ac:dyDescent="0.3">
      <c r="A13" s="91" t="s">
        <v>29</v>
      </c>
      <c r="B13" s="83"/>
      <c r="C13" s="84">
        <f>SUM(C5:C12)</f>
        <v>3169156856.7999997</v>
      </c>
      <c r="D13" s="84">
        <f>SUM(D5:D12)</f>
        <v>1409637092</v>
      </c>
      <c r="E13" s="84">
        <f>SUM(E5:E12)</f>
        <v>891155644</v>
      </c>
      <c r="F13" s="92">
        <f>SUM(F5:F12)</f>
        <v>658785281</v>
      </c>
    </row>
    <row r="14" spans="1:7" x14ac:dyDescent="0.25">
      <c r="A14" s="93" t="s">
        <v>30</v>
      </c>
      <c r="B14" s="359"/>
      <c r="C14" s="361">
        <f>C13/124</f>
        <v>25557716.587096773</v>
      </c>
      <c r="D14" s="361">
        <f>D13/124</f>
        <v>11368041.064516129</v>
      </c>
      <c r="E14" s="361">
        <f>E13/124</f>
        <v>7186739.064516129</v>
      </c>
      <c r="F14" s="363">
        <f>F13/124</f>
        <v>5312784.5241935486</v>
      </c>
    </row>
    <row r="15" spans="1:7" ht="15.75" thickBot="1" x14ac:dyDescent="0.3">
      <c r="A15" s="94" t="s">
        <v>31</v>
      </c>
      <c r="B15" s="360"/>
      <c r="C15" s="362"/>
      <c r="D15" s="362"/>
      <c r="E15" s="362"/>
      <c r="F15" s="364"/>
    </row>
    <row r="17" spans="4:5" x14ac:dyDescent="0.25">
      <c r="D17" s="74"/>
      <c r="E17" s="74"/>
    </row>
  </sheetData>
  <mergeCells count="16">
    <mergeCell ref="A9:A10"/>
    <mergeCell ref="A1:F1"/>
    <mergeCell ref="F7:F8"/>
    <mergeCell ref="A2:A4"/>
    <mergeCell ref="B2:B4"/>
    <mergeCell ref="A5:A6"/>
    <mergeCell ref="F5:F6"/>
    <mergeCell ref="A7:A8"/>
    <mergeCell ref="F9:F10"/>
    <mergeCell ref="A11:A12"/>
    <mergeCell ref="F11:F12"/>
    <mergeCell ref="B14:B15"/>
    <mergeCell ref="C14:C15"/>
    <mergeCell ref="D14:D15"/>
    <mergeCell ref="F14:F15"/>
    <mergeCell ref="E14:E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3</vt:i4>
      </vt:variant>
      <vt:variant>
        <vt:lpstr>Named Ranges</vt:lpstr>
      </vt:variant>
      <vt:variant>
        <vt:i4>1</vt:i4>
      </vt:variant>
    </vt:vector>
  </HeadingPairs>
  <TitlesOfParts>
    <vt:vector size="7" baseType="lpstr">
      <vt:lpstr>Kostimi i planit te veprimit</vt:lpstr>
      <vt:lpstr>Totali_Qellimet politike</vt:lpstr>
      <vt:lpstr>Nevojat kapitale</vt:lpstr>
      <vt:lpstr>Grafik Kostot</vt:lpstr>
      <vt:lpstr>Grafik-Ndarja e kostove</vt:lpstr>
      <vt:lpstr>Grafik_ Qellimet e politikave</vt:lpstr>
      <vt:lpstr>'Nevojat kapitale'!_Hlk14952534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Oriana Arapi</dc:creator>
  <cp:lastModifiedBy>Brunilda.dervishaj</cp:lastModifiedBy>
  <cp:lastPrinted>2021-03-04T22:52:01Z</cp:lastPrinted>
  <dcterms:created xsi:type="dcterms:W3CDTF">2019-02-21T16:54:35Z</dcterms:created>
  <dcterms:modified xsi:type="dcterms:W3CDTF">2021-04-09T11:05:43Z</dcterms:modified>
</cp:coreProperties>
</file>